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 tabRatio="927" firstSheet="1" activeTab="3"/>
  </bookViews>
  <sheets>
    <sheet name="MODELO" sheetId="12" state="hidden" r:id="rId1"/>
    <sheet name="TILS 20H - PF" sheetId="17" r:id="rId2"/>
    <sheet name="TILS 40H - PF" sheetId="26" r:id="rId3"/>
    <sheet name="INSUMOS - PF" sheetId="23" r:id="rId4"/>
    <sheet name="RESUMO - PF" sheetId="9" r:id="rId5"/>
    <sheet name="Plan1" sheetId="25" state="hidden" r:id="rId6"/>
  </sheets>
  <definedNames>
    <definedName name="__xlnm.Print_Area">#N/A</definedName>
    <definedName name="__xlnm.Print_Area_1" localSheetId="2">#REF!</definedName>
    <definedName name="__xlnm.Print_Area_1">#REF!</definedName>
    <definedName name="__xlnm.Print_Titles">#N/A</definedName>
    <definedName name="__xlnm.Print_Titles_1">"$#REF!.$A$#REF!:$AMF$#REF!"</definedName>
    <definedName name="_xlnm.Print_Area" localSheetId="3">'INSUMOS - PF'!$G$1:$K$23</definedName>
    <definedName name="_xlnm.Print_Area" localSheetId="4">'RESUMO - PF'!$A$1:$I$10</definedName>
    <definedName name="Excel_BuiltIn_Print_Area_2_1" localSheetId="2">#REF!</definedName>
    <definedName name="Excel_BuiltIn_Print_Area_2_1">#REF!</definedName>
    <definedName name="Excel_BuiltIn_Print_Area_3_1" localSheetId="2">#REF!</definedName>
    <definedName name="Excel_BuiltIn_Print_Area_3_1">#REF!</definedName>
    <definedName name="Excel_BuiltIn_Print_Area_4_1" localSheetId="2">#REF!</definedName>
    <definedName name="Excel_BuiltIn_Print_Area_4_1">#REF!</definedName>
    <definedName name="Excel_BuiltIn_Print_Area_4_1_1" localSheetId="2">#REF!</definedName>
    <definedName name="Excel_BuiltIn_Print_Area_4_1_1">#REF!</definedName>
    <definedName name="Excel_BuiltIn_Print_Area_5_1" localSheetId="2">#REF!</definedName>
    <definedName name="Excel_BuiltIn_Print_Area_5_1">#REF!</definedName>
    <definedName name="Excel_BuiltIn_Print_Area_5_1_1" localSheetId="2">#REF!</definedName>
    <definedName name="Excel_BuiltIn_Print_Area_5_1_1">#REF!</definedName>
    <definedName name="Excel_BuiltIn_Print_Area_5_1_1_1" localSheetId="2">#REF!</definedName>
    <definedName name="Excel_BuiltIn_Print_Area_5_1_1_1">#REF!</definedName>
    <definedName name="Excel_BuiltIn_Print_Area_6_1" localSheetId="2">#REF!</definedName>
    <definedName name="Excel_BuiltIn_Print_Area_6_1">#REF!</definedName>
    <definedName name="Excel_BuiltIn_Print_Area_6_1_1" localSheetId="2">#REF!</definedName>
    <definedName name="Excel_BuiltIn_Print_Area_6_1_1">#REF!</definedName>
    <definedName name="Excel_BuiltIn_Print_Area_7_1_1" localSheetId="2">#REF!</definedName>
    <definedName name="Excel_BuiltIn_Print_Area_7_1_1">#REF!</definedName>
    <definedName name="Excel_BuiltIn_Print_Area_8_1" localSheetId="2">#REF!</definedName>
    <definedName name="Excel_BuiltIn_Print_Area_8_1">#REF!</definedName>
    <definedName name="Excel_BuiltIn_Print_Titles_3" localSheetId="2">#REF!</definedName>
    <definedName name="Excel_BuiltIn_Print_Titles_3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2" i="23" l="1"/>
  <c r="J26" i="17"/>
  <c r="J59" i="17" s="1"/>
  <c r="I18" i="26" l="1"/>
  <c r="J26" i="26" s="1"/>
  <c r="J59" i="26" s="1"/>
  <c r="H4" i="9"/>
  <c r="H3" i="9"/>
  <c r="K19" i="23"/>
  <c r="K21" i="23" s="1"/>
  <c r="I140" i="26"/>
  <c r="J63" i="26"/>
  <c r="I49" i="26"/>
  <c r="I55" i="26" s="1"/>
  <c r="J105" i="26" s="1"/>
  <c r="J106" i="26" s="1"/>
  <c r="J111" i="26" s="1"/>
  <c r="J28" i="26"/>
  <c r="I16" i="26"/>
  <c r="I19" i="26" s="1"/>
  <c r="J30" i="26" l="1"/>
  <c r="J31" i="26"/>
  <c r="J32" i="26" s="1"/>
  <c r="H5" i="9"/>
  <c r="K23" i="23" s="1"/>
  <c r="J118" i="26" s="1"/>
  <c r="J69" i="26"/>
  <c r="J75" i="26" s="1"/>
  <c r="J27" i="26"/>
  <c r="J29" i="26"/>
  <c r="J118" i="17" l="1"/>
  <c r="I20" i="23"/>
  <c r="I19" i="23"/>
  <c r="I12" i="23"/>
  <c r="K12" i="23" s="1"/>
  <c r="I3" i="23"/>
  <c r="I4" i="23"/>
  <c r="K4" i="23" s="1"/>
  <c r="I11" i="23"/>
  <c r="K11" i="23" s="1"/>
  <c r="J34" i="26"/>
  <c r="J96" i="26" s="1"/>
  <c r="J39" i="26" l="1"/>
  <c r="K13" i="23"/>
  <c r="K14" i="23" s="1"/>
  <c r="J40" i="26"/>
  <c r="J41" i="26" s="1"/>
  <c r="J42" i="26" s="1"/>
  <c r="J43" i="26" s="1"/>
  <c r="J73" i="26" s="1"/>
  <c r="J48" i="26"/>
  <c r="J82" i="26"/>
  <c r="J49" i="26"/>
  <c r="J47" i="26"/>
  <c r="J51" i="26"/>
  <c r="J52" i="26"/>
  <c r="J85" i="26"/>
  <c r="J50" i="26"/>
  <c r="J83" i="26"/>
  <c r="J84" i="26" s="1"/>
  <c r="J92" i="26"/>
  <c r="J147" i="26"/>
  <c r="J54" i="26"/>
  <c r="J53" i="26"/>
  <c r="K5" i="25"/>
  <c r="K15" i="23" l="1"/>
  <c r="J117" i="26" s="1"/>
  <c r="J117" i="17"/>
  <c r="J80" i="26"/>
  <c r="J81" i="26" s="1"/>
  <c r="J86" i="26" s="1"/>
  <c r="J89" i="26"/>
  <c r="J93" i="26" s="1"/>
  <c r="J55" i="26"/>
  <c r="J74" i="26" s="1"/>
  <c r="J76" i="26" s="1"/>
  <c r="J148" i="26" s="1"/>
  <c r="K2" i="25"/>
  <c r="K4" i="25"/>
  <c r="K7" i="25"/>
  <c r="K8" i="25"/>
  <c r="K9" i="25"/>
  <c r="K10" i="25"/>
  <c r="K3" i="25"/>
  <c r="J97" i="26" l="1"/>
  <c r="J94" i="26"/>
  <c r="J95" i="26"/>
  <c r="J149" i="26"/>
  <c r="J98" i="26" l="1"/>
  <c r="J99" i="26" s="1"/>
  <c r="J100" i="26" s="1"/>
  <c r="J110" i="26" s="1"/>
  <c r="J112" i="26" s="1"/>
  <c r="J150" i="26" s="1"/>
  <c r="K3" i="23"/>
  <c r="J31" i="12"/>
  <c r="J30" i="12"/>
  <c r="J31" i="17"/>
  <c r="J30" i="17"/>
  <c r="K5" i="23" l="1"/>
  <c r="K6" i="23" s="1"/>
  <c r="K7" i="23" s="1"/>
  <c r="J32" i="17"/>
  <c r="J32" i="12"/>
  <c r="J116" i="26" l="1"/>
  <c r="J116" i="17"/>
  <c r="J120" i="26"/>
  <c r="J151" i="26" l="1"/>
  <c r="J152" i="26" s="1"/>
  <c r="J124" i="26"/>
  <c r="J125" i="26" s="1"/>
  <c r="J126" i="26" s="1"/>
  <c r="J127" i="26" s="1"/>
  <c r="J128" i="26" s="1"/>
  <c r="J137" i="26" l="1"/>
  <c r="J131" i="26"/>
  <c r="J132" i="26"/>
  <c r="J140" i="26" l="1"/>
  <c r="J138" i="26"/>
  <c r="J153" i="26" s="1"/>
  <c r="J154" i="26" s="1"/>
  <c r="C4" i="9" s="1"/>
  <c r="E4" i="9" s="1"/>
  <c r="G4" i="9" s="1"/>
  <c r="I140" i="17"/>
  <c r="J120" i="17"/>
  <c r="J151" i="17" s="1"/>
  <c r="J63" i="17"/>
  <c r="I49" i="17"/>
  <c r="I55" i="17" s="1"/>
  <c r="J28" i="17"/>
  <c r="J29" i="17"/>
  <c r="I16" i="17"/>
  <c r="I19" i="17" s="1"/>
  <c r="J27" i="17" l="1"/>
  <c r="J34" i="17" s="1"/>
  <c r="J83" i="17" s="1"/>
  <c r="J69" i="17"/>
  <c r="J75" i="17" s="1"/>
  <c r="J105" i="17"/>
  <c r="J106" i="17" s="1"/>
  <c r="J111" i="17" s="1"/>
  <c r="J84" i="17" l="1"/>
  <c r="J51" i="17"/>
  <c r="J48" i="17"/>
  <c r="J96" i="17"/>
  <c r="J92" i="17"/>
  <c r="J52" i="17"/>
  <c r="J85" i="17"/>
  <c r="J53" i="17"/>
  <c r="J49" i="17"/>
  <c r="J39" i="17"/>
  <c r="J147" i="17"/>
  <c r="J82" i="17"/>
  <c r="J54" i="17"/>
  <c r="J50" i="17"/>
  <c r="J47" i="17"/>
  <c r="J40" i="17"/>
  <c r="J80" i="17" l="1"/>
  <c r="J81" i="17" s="1"/>
  <c r="J86" i="17" s="1"/>
  <c r="J149" i="17" s="1"/>
  <c r="J89" i="17"/>
  <c r="J41" i="17"/>
  <c r="J55" i="17"/>
  <c r="J74" i="17" s="1"/>
  <c r="J42" i="17" l="1"/>
  <c r="J43" i="17" s="1"/>
  <c r="J73" i="17" s="1"/>
  <c r="J76" i="17" s="1"/>
  <c r="J95" i="17"/>
  <c r="J97" i="17"/>
  <c r="J93" i="17"/>
  <c r="J94" i="17"/>
  <c r="J148" i="17" l="1"/>
  <c r="J98" i="17"/>
  <c r="J99" i="17" l="1"/>
  <c r="J100" i="17" s="1"/>
  <c r="J110" i="17" s="1"/>
  <c r="J112" i="17" s="1"/>
  <c r="J150" i="17" l="1"/>
  <c r="J152" i="17" s="1"/>
  <c r="J124" i="17"/>
  <c r="J125" i="17" s="1"/>
  <c r="J126" i="17" s="1"/>
  <c r="J127" i="17" s="1"/>
  <c r="J128" i="17" l="1"/>
  <c r="J137" i="17" s="1"/>
  <c r="J132" i="17" l="1"/>
  <c r="J131" i="17"/>
  <c r="J138" i="17" l="1"/>
  <c r="J153" i="17" s="1"/>
  <c r="J154" i="17" s="1"/>
  <c r="C3" i="9" s="1"/>
  <c r="J140" i="17"/>
  <c r="E3" i="9" l="1"/>
  <c r="G3" i="9" s="1"/>
  <c r="I140" i="12"/>
  <c r="J120" i="12"/>
  <c r="J151" i="12" s="1"/>
  <c r="J63" i="12"/>
  <c r="I49" i="12"/>
  <c r="I55" i="12" s="1"/>
  <c r="J28" i="12"/>
  <c r="J26" i="12"/>
  <c r="I16" i="12"/>
  <c r="I19" i="12" s="1"/>
  <c r="J29" i="12" l="1"/>
  <c r="J105" i="12"/>
  <c r="J106" i="12" s="1"/>
  <c r="J111" i="12" s="1"/>
  <c r="J27" i="12"/>
  <c r="J34" i="12" s="1"/>
  <c r="J59" i="12"/>
  <c r="J69" i="12" s="1"/>
  <c r="J75" i="12" s="1"/>
  <c r="J147" i="12" l="1"/>
  <c r="J82" i="12"/>
  <c r="J54" i="12"/>
  <c r="J50" i="12"/>
  <c r="J47" i="12"/>
  <c r="J40" i="12"/>
  <c r="J96" i="12"/>
  <c r="J83" i="12"/>
  <c r="J84" i="12" s="1"/>
  <c r="J51" i="12"/>
  <c r="J48" i="12"/>
  <c r="J92" i="12"/>
  <c r="J52" i="12"/>
  <c r="J85" i="12"/>
  <c r="J53" i="12"/>
  <c r="J49" i="12"/>
  <c r="J39" i="12"/>
  <c r="J80" i="12" l="1"/>
  <c r="J55" i="12"/>
  <c r="J74" i="12" s="1"/>
  <c r="J89" i="12"/>
  <c r="J41" i="12"/>
  <c r="J81" i="12" l="1"/>
  <c r="J86" i="12" s="1"/>
  <c r="J149" i="12" s="1"/>
  <c r="J42" i="12"/>
  <c r="J43" i="12" s="1"/>
  <c r="J73" i="12" s="1"/>
  <c r="J76" i="12" s="1"/>
  <c r="J94" i="12"/>
  <c r="J95" i="12"/>
  <c r="J97" i="12"/>
  <c r="J93" i="12"/>
  <c r="J148" i="12" l="1"/>
  <c r="J98" i="12"/>
  <c r="J99" i="12" l="1"/>
  <c r="J100" i="12" s="1"/>
  <c r="J110" i="12" s="1"/>
  <c r="J112" i="12" s="1"/>
  <c r="J150" i="12" l="1"/>
  <c r="J152" i="12" s="1"/>
  <c r="J124" i="12"/>
  <c r="J125" i="12" s="1"/>
  <c r="J126" i="12" l="1"/>
  <c r="J127" i="12" s="1"/>
  <c r="J128" i="12" s="1"/>
  <c r="J137" i="12" l="1"/>
  <c r="J131" i="12"/>
  <c r="J132" i="12"/>
  <c r="J140" i="12" l="1"/>
  <c r="J138" i="12"/>
  <c r="J153" i="12" s="1"/>
  <c r="J154" i="12" s="1"/>
  <c r="G5" i="9" l="1"/>
  <c r="G8" i="9" s="1"/>
  <c r="G10" i="9" s="1"/>
</calcChain>
</file>

<file path=xl/sharedStrings.xml><?xml version="1.0" encoding="utf-8"?>
<sst xmlns="http://schemas.openxmlformats.org/spreadsheetml/2006/main" count="783" uniqueCount="209">
  <si>
    <t>Nº do processo:</t>
  </si>
  <si>
    <t>Licitação nº:</t>
  </si>
  <si>
    <t>DISCRIMINAÇÃO DOS SERVIÇOS (DADOS REFERENTES À CONTRATAÇÃO)</t>
  </si>
  <si>
    <t>A</t>
  </si>
  <si>
    <t>Data de apresentação da proposta (dia/mês/ano)</t>
  </si>
  <si>
    <t>B</t>
  </si>
  <si>
    <t>Município/UF</t>
  </si>
  <si>
    <t>C</t>
  </si>
  <si>
    <t>Ano do Acordo, Convenção ou Dissídio Coletivo</t>
  </si>
  <si>
    <t>D</t>
  </si>
  <si>
    <t>Número de meses de execução contratual</t>
  </si>
  <si>
    <t>Dados para composição dos custos referente à mão de obra</t>
  </si>
  <si>
    <t>Tipo de Serviço (mesmo serviço com características distintas)</t>
  </si>
  <si>
    <t>Classificação Brasileira de Ocupações (CBO)</t>
  </si>
  <si>
    <t>Salário Normativo da Categoria Profissional - para a jornada de 44 h/sem</t>
  </si>
  <si>
    <t>Categoria Profissional (vinculada à execução contratual)</t>
  </si>
  <si>
    <t>Data-Base da Categoria (dia/mês/ano)</t>
  </si>
  <si>
    <t>Módulo 1: Composição da Remuneração</t>
  </si>
  <si>
    <t xml:space="preserve">Composição da Remuneração </t>
  </si>
  <si>
    <t xml:space="preserve">Total </t>
  </si>
  <si>
    <t>Módulo 2 – Encargos e Benefícios Anuais, Mensais e Diários</t>
  </si>
  <si>
    <t>Submódulo 2.1 – 13º (décimo terceiro) Salário e Adicional de Férias</t>
  </si>
  <si>
    <t>2.1</t>
  </si>
  <si>
    <t>Valor (R$)</t>
  </si>
  <si>
    <t>Total</t>
  </si>
  <si>
    <t>Incidência dos encargos do Submódulo 2.2 sobre o total do Submódulo 2.1</t>
  </si>
  <si>
    <t>Submódulo 2.2 - Encargos Previdenciários (GPS), Fundo de Garantia por Tempo de Serviço (FGTS) e outras contribuições</t>
  </si>
  <si>
    <t>2.2</t>
  </si>
  <si>
    <t>GPS, FGTS e outras contribuições</t>
  </si>
  <si>
    <t>Percentual (%)</t>
  </si>
  <si>
    <t>INSS</t>
  </si>
  <si>
    <t>Salário Educação</t>
  </si>
  <si>
    <t>RAT x FAP</t>
  </si>
  <si>
    <t>RAT =</t>
  </si>
  <si>
    <t xml:space="preserve"> FAP =</t>
  </si>
  <si>
    <t>SESC ou SESI</t>
  </si>
  <si>
    <t>E</t>
  </si>
  <si>
    <t>SENAC ou SENAI</t>
  </si>
  <si>
    <t>F</t>
  </si>
  <si>
    <t>SEBRAE</t>
  </si>
  <si>
    <t>G</t>
  </si>
  <si>
    <t>INCRA</t>
  </si>
  <si>
    <t>H</t>
  </si>
  <si>
    <t>FGTS</t>
  </si>
  <si>
    <t>Submódulo 2.3 – Benefícios Mensais e Diários</t>
  </si>
  <si>
    <t>2.3</t>
  </si>
  <si>
    <t>Benefícios Mensais e Diários</t>
  </si>
  <si>
    <t>-</t>
  </si>
  <si>
    <t xml:space="preserve">      A.2) Quantidade de passagens por dia por empregado:</t>
  </si>
  <si>
    <t xml:space="preserve">      A.3) Quantidade de dias do mês de recebimento de passagens</t>
  </si>
  <si>
    <t xml:space="preserve">      B.1) Valor do auxílio-alimentação: </t>
  </si>
  <si>
    <t xml:space="preserve">      B.2) Quantidade de dias do mês de recebimento de auxílio-alimentação</t>
  </si>
  <si>
    <t>Seguro contra riscos de acidente de trabalho</t>
  </si>
  <si>
    <t xml:space="preserve">Plano de Benefício Social Familiar </t>
  </si>
  <si>
    <t>Quadro-Resumo do Módulo 2 – Encargos e Benefícios Anuais, Mensais e Diários</t>
  </si>
  <si>
    <t>Encargos e Benefícios Anuais, Mensais e Diários</t>
  </si>
  <si>
    <t>Módulo 3 - Provisão para Rescisão</t>
  </si>
  <si>
    <t>Provisão para Rescisão</t>
  </si>
  <si>
    <t>Incidência do FGTS sobre o Aviso Prévio Indenizado</t>
  </si>
  <si>
    <t xml:space="preserve">Incidência dos encargos do Submódulo 2.2 sobre o Aviso Prévio Trabalhado         </t>
  </si>
  <si>
    <t>Módulo 4 - Custo de Reposição do Profissional Ausente</t>
  </si>
  <si>
    <t>Base de cálculo para o Custo de Reposição do Profissional Ausente (substituto): BCCPA = Rem + 13º + Férias + 1/3Férias</t>
  </si>
  <si>
    <t>4.1</t>
  </si>
  <si>
    <t>Ausências Legais</t>
  </si>
  <si>
    <t>Férias</t>
  </si>
  <si>
    <t>Incidência dos encargos do Submódulo 2.2 sobre o  total do Submódulo 4.1</t>
  </si>
  <si>
    <t>Submódulo 4.2 – Intrajornada</t>
  </si>
  <si>
    <t xml:space="preserve">4.2 </t>
  </si>
  <si>
    <t>Intrajornada</t>
  </si>
  <si>
    <t>Intervalo para repouso ou alimentação</t>
  </si>
  <si>
    <t>Incidência dos encargos do Submódulo 2.2 sobre o total do Submódulo 4.2</t>
  </si>
  <si>
    <t>Quadro-Resumo do Módulo 4 – Custo de Reposição do Profissional Ausente</t>
  </si>
  <si>
    <t>Custo de Reposição do Profissional Ausente</t>
  </si>
  <si>
    <t>4.2</t>
  </si>
  <si>
    <t>Módulo 5 – Insumos Diversos</t>
  </si>
  <si>
    <t>Insumos diversos</t>
  </si>
  <si>
    <t xml:space="preserve">Uniformes </t>
  </si>
  <si>
    <t>EPI's</t>
  </si>
  <si>
    <t xml:space="preserve">Equipamentos </t>
  </si>
  <si>
    <t>0.00</t>
  </si>
  <si>
    <t>Módulo 6 -  Custos Indiretos, Lucro e Tributos</t>
  </si>
  <si>
    <t xml:space="preserve">Custos Indiretos, Lucro e Tributos </t>
  </si>
  <si>
    <t>BASE DE CÁLCULO DOS CUSTOS INDIRETOS</t>
  </si>
  <si>
    <t>Custos Indiretos</t>
  </si>
  <si>
    <t>BASE DE CÁLCULO DO LUCRO</t>
  </si>
  <si>
    <t>Lucro</t>
  </si>
  <si>
    <t>BASE DE CÁLCULO DOS TRIBUTOS</t>
  </si>
  <si>
    <t>Tributos</t>
  </si>
  <si>
    <t>C.1    Tributos Federais (especificar)</t>
  </si>
  <si>
    <t xml:space="preserve"> c) IRPJ</t>
  </si>
  <si>
    <t xml:space="preserve"> d) CSLL</t>
  </si>
  <si>
    <t>C.2   Tributos Estaduais (especificar)</t>
  </si>
  <si>
    <t>C.3   Tributos Municipais (especificar):</t>
  </si>
  <si>
    <t xml:space="preserve">Percentual Total e Valor Total de Tributos  </t>
  </si>
  <si>
    <t>Cálculo dos Tributos</t>
  </si>
  <si>
    <t xml:space="preserve">                  Base de Cálculo para os Tributos</t>
  </si>
  <si>
    <t xml:space="preserve"> = ( ---------------------------------------------------------------- ) x Alíquota do Tributo</t>
  </si>
  <si>
    <t xml:space="preserve">         1 - (Total de Tributos em % dividido por 100)</t>
  </si>
  <si>
    <t xml:space="preserve">                          Mão de obra vinculada à execução contratual (valor por empregado)</t>
  </si>
  <si>
    <t>Módulo 1 - Composição da Remuneração</t>
  </si>
  <si>
    <t>Módulo 3 – Provisão para Rescisão</t>
  </si>
  <si>
    <t>Módulo 4 – Custo de Reposição do Profissional Ausente</t>
  </si>
  <si>
    <t xml:space="preserve">Módulo 5 - Insumo Diversos </t>
  </si>
  <si>
    <t>Subtotal (A + B + C + D + E)</t>
  </si>
  <si>
    <t>Módulo 6 - Custos Indiretos, Lucro e Tributos</t>
  </si>
  <si>
    <t>Valor Total por Empregado</t>
  </si>
  <si>
    <t>Regime de Tributação: Lucro Real</t>
  </si>
  <si>
    <t>PLANILHA DE CUSTOS E FORMAÇÃO DE PREÇOS - SUPORTE OPERACIONAL</t>
  </si>
  <si>
    <t xml:space="preserve">Dia: </t>
  </si>
  <si>
    <t>PASSO FUNDO/RS</t>
  </si>
  <si>
    <t>13º (décimo terceiro) Salário e Adicional de Férias</t>
  </si>
  <si>
    <r>
      <t>13º (décimo terceiro) Salário</t>
    </r>
    <r>
      <rPr>
        <b/>
        <sz val="10"/>
        <color rgb="FFFF0000"/>
        <rFont val="Arial"/>
        <family val="2"/>
      </rPr>
      <t xml:space="preserve"> </t>
    </r>
    <r>
      <rPr>
        <b/>
        <sz val="10"/>
        <color theme="1"/>
        <rFont val="Arial"/>
        <family val="2"/>
      </rPr>
      <t>e Adicional de Férias</t>
    </r>
  </si>
  <si>
    <r>
      <t>13º (décimo terceiro) Salário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FF0000"/>
        <rFont val="Arial"/>
        <family val="2"/>
      </rPr>
      <t>Obrigatória a cotação de 8,33% sobre o valor do Módulo 1 – Composição da Remuneração, conforme Anexo XII da IN 5/17</t>
    </r>
  </si>
  <si>
    <r>
      <t>Adicional de Férias</t>
    </r>
    <r>
      <rPr>
        <b/>
        <sz val="10"/>
        <color rgb="FF009900"/>
        <rFont val="Arial"/>
        <family val="2"/>
      </rPr>
      <t xml:space="preserve"> </t>
    </r>
    <r>
      <rPr>
        <b/>
        <sz val="10"/>
        <color rgb="FFFF0000"/>
        <rFont val="Arial"/>
        <family val="2"/>
      </rPr>
      <t>Obrigatória a cotação de 3,025% sobre o valor do Módulo 1 – Composição da Remuneração, conforme Anexo XII da IN 5/17 (Férias + Adicional = 9,075% + 3,025% = 12,10%)</t>
    </r>
  </si>
  <si>
    <r>
      <t xml:space="preserve">Aviso Prévio Indenizado     </t>
    </r>
    <r>
      <rPr>
        <b/>
        <sz val="10"/>
        <color rgb="FFFF0000"/>
        <rFont val="Arial"/>
        <family val="2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</si>
  <si>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t xml:space="preserve">Multa do FGTS e contribuição social sobre o Aviso Prévio Indenizado </t>
    </r>
    <r>
      <rPr>
        <b/>
        <sz val="10"/>
        <color rgb="FFFF0000"/>
        <rFont val="Arial"/>
        <family val="2"/>
      </rPr>
      <t>Obrigatória a cotação de 0,24% sobre o valor do Módulo 1 – Composição da Remuneração, conforme Anexo XII da IN Seges nº 5/2017 (0,19% + 3,81% = 4,0%) - (Lei 13.932, de 11 de dezembro de 2019)</t>
    </r>
  </si>
  <si>
    <r>
      <t xml:space="preserve">Aviso Prévio Trabalhado                 (negociar extinção/redução na 1ª prorrogação)
</t>
    </r>
    <r>
      <rPr>
        <b/>
        <sz val="10"/>
        <color rgb="FFFF0000"/>
        <rFont val="Arial"/>
        <family val="2"/>
      </rPr>
      <t>Cálculo do valor= [(Rem/30)x7]/12 meses do contrato. Consideramos que 10% do colaboradores são desligados nessa condição.</t>
    </r>
  </si>
  <si>
    <r>
      <t xml:space="preserve">Multa do FGTS e contribuição social sobre o Aviso Prévio Trabalhado </t>
    </r>
    <r>
      <rPr>
        <b/>
        <sz val="10"/>
        <color rgb="FFFF0000"/>
        <rFont val="Arial"/>
        <family val="2"/>
      </rPr>
      <t>Obrigatória a cotação de 4,76% sobre o valor do Módulo 1 – Composição da Remuneração, conforme Anexo XII da IN Seges nº 5/2017 (3,81%+0,19% = 4,0%) - (Lei 13.932, de 11 de dezembro de 2019)</t>
    </r>
  </si>
  <si>
    <r>
      <t xml:space="preserve">Ausências Legais                                               </t>
    </r>
    <r>
      <rPr>
        <b/>
        <sz val="10"/>
        <color rgb="FFFF0000"/>
        <rFont val="Arial"/>
        <family val="2"/>
      </rPr>
      <t>Cálculo do valor = 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/30)x2,96dias]/12</t>
    </r>
  </si>
  <si>
    <r>
      <t xml:space="preserve">Licença-Paternidade                                         </t>
    </r>
    <r>
      <rPr>
        <b/>
        <sz val="10"/>
        <color rgb="FFFF0000"/>
        <rFont val="Arial"/>
        <family val="2"/>
      </rPr>
      <t>Cálculo do valor = {[(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/30)x5dias]/12}x1,5%</t>
    </r>
  </si>
  <si>
    <r>
      <t xml:space="preserve">Ausência por acidente de trabalho                 </t>
    </r>
    <r>
      <rPr>
        <b/>
        <sz val="10"/>
        <color rgb="FFFF0000"/>
        <rFont val="Arial"/>
        <family val="2"/>
      </rPr>
      <t>Cálculo do valor  = {[(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/30)x15dias]/12}x0,78%</t>
    </r>
  </si>
  <si>
    <r>
      <t xml:space="preserve">Afastamento Maternidade                                </t>
    </r>
    <r>
      <rPr>
        <b/>
        <sz val="10"/>
        <color rgb="FFFF0000"/>
        <rFont val="Arial"/>
        <family val="2"/>
      </rPr>
      <t>Cálculo do valor = {[(</t>
    </r>
    <r>
      <rPr>
        <b/>
        <sz val="10"/>
        <color rgb="FF0000FF"/>
        <rFont val="Arial"/>
        <family val="2"/>
      </rPr>
      <t>Rem</t>
    </r>
    <r>
      <rPr>
        <b/>
        <sz val="10"/>
        <color rgb="FFFF0000"/>
        <rFont val="Arial"/>
        <family val="2"/>
      </rPr>
      <t>+1/3</t>
    </r>
    <r>
      <rPr>
        <b/>
        <sz val="10"/>
        <color rgb="FF0000FF"/>
        <rFont val="Arial"/>
        <family val="2"/>
      </rPr>
      <t>Rem</t>
    </r>
    <r>
      <rPr>
        <b/>
        <sz val="10"/>
        <color rgb="FFFF0000"/>
        <rFont val="Arial"/>
        <family val="2"/>
      </rPr>
      <t>)/12]x(4/12)}x2%</t>
    </r>
  </si>
  <si>
    <r>
      <t xml:space="preserve">(Outros)   Ausência por doença                      </t>
    </r>
    <r>
      <rPr>
        <b/>
        <sz val="10"/>
        <color rgb="FFFF0000"/>
        <rFont val="Arial"/>
        <family val="2"/>
      </rPr>
      <t>Cálculo do valor = 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)/30)x5dias]/12</t>
    </r>
  </si>
  <si>
    <r>
      <t xml:space="preserve">  a) Cofins</t>
    </r>
    <r>
      <rPr>
        <sz val="10"/>
        <color rgb="FFFF0000"/>
        <rFont val="Arial"/>
        <family val="2"/>
      </rPr>
      <t xml:space="preserve">  (depende do regime de tributação - utilizada a hipótese de Lucro Real)</t>
    </r>
  </si>
  <si>
    <r>
      <t xml:space="preserve">  b) PI</t>
    </r>
    <r>
      <rPr>
        <b/>
        <sz val="10"/>
        <rFont val="Arial"/>
        <family val="2"/>
      </rPr>
      <t>S</t>
    </r>
    <r>
      <rPr>
        <sz val="10"/>
        <color rgb="FFFF0000"/>
        <rFont val="Arial"/>
        <family val="2"/>
      </rPr>
      <t xml:space="preserve"> (depende do regime de tributação - utilizada a hipótese de Lucro Real)</t>
    </r>
  </si>
  <si>
    <r>
      <t xml:space="preserve">  a) ISS   </t>
    </r>
    <r>
      <rPr>
        <sz val="10"/>
        <color rgb="FFFF0000"/>
        <rFont val="Arial"/>
        <family val="2"/>
      </rPr>
      <t xml:space="preserve">ISS  LEI Nº 137, DE 29/12/2004 - Prefeitura de Passo Fundo/RS            </t>
    </r>
  </si>
  <si>
    <r>
      <t xml:space="preserve">Salário-Base   </t>
    </r>
    <r>
      <rPr>
        <b/>
        <sz val="10"/>
        <color rgb="FFFF0000"/>
        <rFont val="Arial"/>
        <family val="2"/>
      </rPr>
      <t>(não inferior ao salário mínimo nacional)</t>
    </r>
  </si>
  <si>
    <r>
      <t xml:space="preserve">Outros </t>
    </r>
    <r>
      <rPr>
        <b/>
        <sz val="10"/>
        <color rgb="FFFF0000"/>
        <rFont val="Arial"/>
        <family val="2"/>
      </rPr>
      <t xml:space="preserve">(especificar) </t>
    </r>
  </si>
  <si>
    <r>
      <t xml:space="preserve">Adicional de Insalubridade </t>
    </r>
    <r>
      <rPr>
        <b/>
        <sz val="10"/>
        <color rgb="FFFF0000"/>
        <rFont val="Arial"/>
        <family val="2"/>
      </rPr>
      <t>(base de cálculo: renda, cfe. CCT)</t>
    </r>
  </si>
  <si>
    <t>SINDUSCON/PASSO FUNDO - CCT 2022-2022</t>
  </si>
  <si>
    <r>
      <t xml:space="preserve">Salário Mínimo Nacional </t>
    </r>
    <r>
      <rPr>
        <b/>
        <sz val="10"/>
        <color rgb="FFFF0000"/>
        <rFont val="Arial"/>
        <family val="2"/>
      </rPr>
      <t>(para fins de base de cálculo da insalubridade ou para limíte mínimo de renda).</t>
    </r>
  </si>
  <si>
    <r>
      <t xml:space="preserve">Jornada Semanal </t>
    </r>
    <r>
      <rPr>
        <b/>
        <sz val="10"/>
        <color rgb="FFFF0000"/>
        <rFont val="Arial"/>
        <family val="2"/>
      </rPr>
      <t>(número de horas semanais)</t>
    </r>
  </si>
  <si>
    <t xml:space="preserve">      A.1) Valor da passagem do transporte coletivo no município de prestação dos serviços: Passo Fundo/RS</t>
  </si>
  <si>
    <t>2. QUADRO-RESUMO DO CUSTO POR EMPREGADO</t>
  </si>
  <si>
    <t>1. MÓDULOS Mão de obra vinculada à execução contratual</t>
  </si>
  <si>
    <r>
      <t xml:space="preserve">Auxílio-Refeição/Alimentação </t>
    </r>
    <r>
      <rPr>
        <b/>
        <sz val="10"/>
        <color rgb="FFFF0000"/>
        <rFont val="Arial"/>
        <family val="2"/>
      </rPr>
      <t xml:space="preserve">        Cálculo do valor: [(VA ou VR x 22 dias) x ( 1 - contrapartida)]</t>
    </r>
  </si>
  <si>
    <r>
      <t xml:space="preserve">Transporte                                          </t>
    </r>
    <r>
      <rPr>
        <b/>
        <sz val="10"/>
        <color rgb="FFFF0000"/>
        <rFont val="Arial"/>
        <family val="2"/>
      </rPr>
      <t>Cálculo do valor: [( 2 x VT x 22 dias ) – ( 6% x SB )]</t>
    </r>
  </si>
  <si>
    <r>
      <t xml:space="preserve">Adicional de Periculosidade </t>
    </r>
    <r>
      <rPr>
        <b/>
        <sz val="10"/>
        <color rgb="FFFF0000"/>
        <rFont val="Arial"/>
        <family val="2"/>
      </rPr>
      <t>(base de cálculo: renda, cfe. CLT)</t>
    </r>
  </si>
  <si>
    <r>
      <t xml:space="preserve">Adicional de Insalubridade </t>
    </r>
    <r>
      <rPr>
        <b/>
        <sz val="10"/>
        <color rgb="FFFF0000"/>
        <rFont val="Arial"/>
        <family val="2"/>
      </rPr>
      <t>(base de cálculo: sal. mín. nacional, cfe. CLT)</t>
    </r>
  </si>
  <si>
    <t xml:space="preserve">      B.3) Contrapartida do empregado</t>
  </si>
  <si>
    <t>" M O D E L O "</t>
  </si>
  <si>
    <t>XXXX-XX</t>
  </si>
  <si>
    <r>
      <t xml:space="preserve">Adicional de Insalubridade </t>
    </r>
    <r>
      <rPr>
        <b/>
        <sz val="10"/>
        <color rgb="FFFF0000"/>
        <rFont val="Arial"/>
        <family val="2"/>
      </rPr>
      <t>(cálculo: renda, cfe. CCT)</t>
    </r>
  </si>
  <si>
    <r>
      <t xml:space="preserve">Adicional de Insalubridade </t>
    </r>
    <r>
      <rPr>
        <b/>
        <sz val="10"/>
        <color rgb="FFFF0000"/>
        <rFont val="Arial"/>
        <family val="2"/>
      </rPr>
      <t>(cálculo: sal. mín. nacional, cfe. CLT)</t>
    </r>
  </si>
  <si>
    <r>
      <t xml:space="preserve">Adicional de Periculosidade </t>
    </r>
    <r>
      <rPr>
        <b/>
        <sz val="10"/>
        <color rgb="FFFF0000"/>
        <rFont val="Arial"/>
        <family val="2"/>
      </rPr>
      <t>(cálculo: renda, cfe. CLT)</t>
    </r>
  </si>
  <si>
    <r>
      <t xml:space="preserve">DSR - Descanso Semanal Remunerado </t>
    </r>
    <r>
      <rPr>
        <b/>
        <sz val="10"/>
        <color rgb="FFFF0000"/>
        <rFont val="Arial"/>
        <family val="2"/>
      </rPr>
      <t>(cálculo: 20% sobre os adicionais pertinentes)</t>
    </r>
  </si>
  <si>
    <r>
      <t xml:space="preserve">Adicional Noturno </t>
    </r>
    <r>
      <rPr>
        <b/>
        <sz val="10"/>
        <color rgb="FFFF0000"/>
        <rFont val="Arial"/>
        <family val="2"/>
      </rPr>
      <t>(cálculo: Nº de horas noturnas mês x (SB/220h)+20%)</t>
    </r>
  </si>
  <si>
    <r>
      <t xml:space="preserve">Hora Noturna Adicional </t>
    </r>
    <r>
      <rPr>
        <b/>
        <sz val="10"/>
        <color rgb="FFFF0000"/>
        <rFont val="Arial"/>
        <family val="2"/>
      </rPr>
      <t xml:space="preserve">(cálculo: Nº de horas noturnas mês x [(60 min-52,5 min)/60 min] x [(SB/220h+20%)+50%] </t>
    </r>
  </si>
  <si>
    <t xml:space="preserve"> VALOR MENSAL DOS SERVIÇOS</t>
  </si>
  <si>
    <t>Tipo de serviço (A)</t>
  </si>
  <si>
    <t xml:space="preserve">Valor Proposto  por Empregado  (B) </t>
  </si>
  <si>
    <t xml:space="preserve">Qtde. de Empregados por Posto (C) </t>
  </si>
  <si>
    <t xml:space="preserve">Valor Proposto  por Posto  (D) = (B x C) </t>
  </si>
  <si>
    <t xml:space="preserve">Qtde. de  Postos  (E) </t>
  </si>
  <si>
    <t xml:space="preserve">Valor Total do Serviço (F) = (D x E) </t>
  </si>
  <si>
    <t xml:space="preserve">QUADRO DEMONSTRATIVO DO VALOR GLOBAL DA PROPOSTA </t>
  </si>
  <si>
    <t>Número de meses do Contrato</t>
  </si>
  <si>
    <r>
      <rPr>
        <b/>
        <sz val="10"/>
        <rFont val="Arial"/>
        <family val="2"/>
      </rPr>
      <t>Valor Global do Proposta</t>
    </r>
    <r>
      <rPr>
        <sz val="11"/>
        <color theme="1"/>
        <rFont val="Calibri"/>
        <family val="2"/>
        <scheme val="minor"/>
      </rPr>
      <t xml:space="preserve"> (Valor mensal do serviço x  nº de meses do contrato).</t>
    </r>
  </si>
  <si>
    <t>Unidade</t>
  </si>
  <si>
    <t>Valor Unitário</t>
  </si>
  <si>
    <t>Custo Anual</t>
  </si>
  <si>
    <t>Equipamentos</t>
  </si>
  <si>
    <t>Peças/Vestuário</t>
  </si>
  <si>
    <t>Custo anual</t>
  </si>
  <si>
    <t>Ponto biométrico homologado e registrado pelo Ministério do Trabalho e Emprego, bem como estar em atendimento à legislação vigente;</t>
  </si>
  <si>
    <t>Valor Mensal dos Serviços de mão de obra</t>
  </si>
  <si>
    <t>Item</t>
  </si>
  <si>
    <t>Valor mensal do serviço de mão de obra</t>
  </si>
  <si>
    <t>Fração</t>
  </si>
  <si>
    <t>total</t>
  </si>
  <si>
    <t>epp</t>
  </si>
  <si>
    <t>MERCOSERVICE PRESTACAO DE SERVICOS LTDA</t>
  </si>
  <si>
    <t xml:space="preserve">ALPHA SERVICOS DE LIMPEZA E APOIO ADMINISTRATIVO OPERACIONAL EIRELI </t>
  </si>
  <si>
    <t>NÃO</t>
  </si>
  <si>
    <t>SIM</t>
  </si>
  <si>
    <t xml:space="preserve">GOLDEN CONSTRUCOES, CONSERVACAO E LIMPEZA URBANA LTDA </t>
  </si>
  <si>
    <t xml:space="preserve">LIONS SERVICOS INTELIGENTES LTDA </t>
  </si>
  <si>
    <t xml:space="preserve">ADSERVI - ADMINISTRADORA DE SERVICOS LTDA </t>
  </si>
  <si>
    <t>Custo anual dos Equipamentos</t>
  </si>
  <si>
    <t>Custo Mensal dos Equipamentos (depreciação 20%/ano)</t>
  </si>
  <si>
    <t>CCT 2023-2023                                                                                                        Nº REGISTRO M.T.E.: RS000050/2023                                                                  SIND. EMPRESAS - CNPJ: 87.078.325/0001-75                                                                SIND. TRABALHADORES - CNPJ: 10.141.903/0001-46</t>
  </si>
  <si>
    <t>2614-25</t>
  </si>
  <si>
    <t>TRADUTOR/INTERPRETE DE LIBRAS - 20H/SEMANA</t>
  </si>
  <si>
    <t>TRADUTOR/INTERPRETE DE LIBRAS - 40H/SEMANA</t>
  </si>
  <si>
    <t>UNIFORMES</t>
  </si>
  <si>
    <t>EPI´S</t>
  </si>
  <si>
    <t>EQUIPAMENTOS</t>
  </si>
  <si>
    <t>Total de empregados no Contrato</t>
  </si>
  <si>
    <t>Descrição</t>
  </si>
  <si>
    <t>Jaleco</t>
  </si>
  <si>
    <t>Custo anual dos Uniformes</t>
  </si>
  <si>
    <t>Custo mensal do Uniformes</t>
  </si>
  <si>
    <t>Custo Anual dos EPIS</t>
  </si>
  <si>
    <t>Custo Mensal dos EPIs</t>
  </si>
  <si>
    <t>PLANILHA DE CUSTOS E FORMAÇÃO DE PREÇOS</t>
  </si>
  <si>
    <r>
      <t xml:space="preserve">Aviso Prévio Trabalhado                 (negociar extinção/redução na 1ª prorrogação)
</t>
    </r>
    <r>
      <rPr>
        <b/>
        <sz val="10"/>
        <color rgb="FFFF0000"/>
        <rFont val="Arial"/>
        <family val="2"/>
      </rPr>
      <t>Cálculo do valor= [(Rem/30)x7]/meses do contrato. Consideramos que 10% do colaboradores são desligados nessa condição.</t>
    </r>
  </si>
  <si>
    <t>I                   (G x H)</t>
  </si>
  <si>
    <r>
      <t xml:space="preserve">Ano do Acordo, Convenção ou Dissídio Coletivo  </t>
    </r>
    <r>
      <rPr>
        <b/>
        <sz val="10"/>
        <color rgb="FFFF0000"/>
        <rFont val="Arial"/>
        <family val="2"/>
      </rPr>
      <t xml:space="preserve">(Conforme critério disposto no item 4.14 do Termo de Referência, deverá ser informado o ano e a Convenção Coletiva de Trabalho a qual a empresa licitante/contratada se vincula por sua atividade principal, na forma do art. 92, V e X, da Lei n.º 14.133, de 2021. Nesta licitação, a Administração tomou por base a data base da Convenção Coletiva de Trabalho do Sindasseio, pelo critério de ser a Convenção adotada pela maioria dos postos terceirizados atualmente contratados. No entanto, a empresa licitante/contratada </t>
    </r>
    <r>
      <rPr>
        <b/>
        <u/>
        <sz val="10"/>
        <rFont val="Arial"/>
        <family val="2"/>
      </rPr>
      <t>DEVERÁ</t>
    </r>
    <r>
      <rPr>
        <b/>
        <sz val="10"/>
        <color rgb="FFFF0000"/>
        <rFont val="Arial"/>
        <family val="2"/>
      </rPr>
      <t xml:space="preserve"> considerar o sindicato ao qual se vincula, considerando sua atividade principal, conforme item 4.14 do Termo de Referência.</t>
    </r>
  </si>
  <si>
    <r>
      <t xml:space="preserve">Salário para a jornada de 20 h/semais </t>
    </r>
    <r>
      <rPr>
        <b/>
        <sz val="10"/>
        <color rgb="FFFF0000"/>
        <rFont val="Arial"/>
        <family val="2"/>
      </rPr>
      <t xml:space="preserve">(Conforme critério dis disposto no item 4.13 do Termo de Referência, a remuração inicial do posto será considerada publicada pela </t>
    </r>
    <r>
      <rPr>
        <b/>
        <u/>
        <sz val="10"/>
        <rFont val="Arial"/>
        <family val="2"/>
      </rPr>
      <t>FEBRAPILS</t>
    </r>
    <r>
      <rPr>
        <b/>
        <sz val="10"/>
        <color rgb="FFFF0000"/>
        <rFont val="Arial"/>
        <family val="2"/>
      </rPr>
      <t xml:space="preserve"> para a Educação Básica e Técnica para 20 horas semanais. A repactuação do salário será com base no percentual mínimo de reajuste informado pela CCT do sindicato a qual a empresa licitante/contratada se vincula, na forma do art. 92, V e X, da Lei n.º 14.133, de 2021. Portanto, em conformidade com o item 4.13 do Termo de Referência, o valor inicial informado neste campo DEVE SER </t>
    </r>
    <r>
      <rPr>
        <b/>
        <u/>
        <sz val="10"/>
        <rFont val="Arial"/>
        <family val="2"/>
      </rPr>
      <t>MINIMAMENTE</t>
    </r>
    <r>
      <rPr>
        <b/>
        <sz val="10"/>
        <color rgb="FFFF0000"/>
        <rFont val="Arial"/>
        <family val="2"/>
      </rPr>
      <t xml:space="preserve"> DE R$ 2.016,00.</t>
    </r>
  </si>
  <si>
    <r>
      <t xml:space="preserve">Data-Base da Categoria (dia/mês/ano) </t>
    </r>
    <r>
      <rPr>
        <b/>
        <sz val="10"/>
        <color rgb="FFFF0000"/>
        <rFont val="Arial"/>
        <family val="2"/>
      </rPr>
      <t xml:space="preserve">(Conforme critério disposto no item 4.14 do Termo de Referência, a data base do posto contratado seguirá a data base informada na Convenção Coletiva de Trabalho - CCT a qual a empresa licitante/contratada se vincula por sua atividade principal. Nesta licitação, a Administração Pública tomou por base a data base da Convenção Coletiva de Trabalho do Sindasseio, pelo critério de ser a Convenção adotada pela maioria dos postos atualmente contratados pelo Campus Passo Fundo, exceto vigilanges. No entanto, a empresa licitante/contratada </t>
    </r>
    <r>
      <rPr>
        <b/>
        <u/>
        <sz val="10"/>
        <rFont val="Arial"/>
        <family val="2"/>
      </rPr>
      <t>DEVERÁ</t>
    </r>
    <r>
      <rPr>
        <b/>
        <sz val="10"/>
        <color rgb="FFFF0000"/>
        <rFont val="Arial"/>
        <family val="2"/>
      </rPr>
      <t xml:space="preserve"> considerar a data base do sindicato ao qual se vincula, considerando sua atividade principal, conforme item 4.14 do Termo de Referência.</t>
    </r>
  </si>
  <si>
    <t>Custo mensal do Uniformes por empregado</t>
  </si>
  <si>
    <t>Valor mensal dos EPI'S por empregado</t>
  </si>
  <si>
    <t>Valor mensal dos Equipamentos por empregado</t>
  </si>
  <si>
    <r>
      <t xml:space="preserve">      A.1) Valor da passagem do transporte coletivo no município de prestação dos serviços: </t>
    </r>
    <r>
      <rPr>
        <b/>
        <sz val="10"/>
        <color rgb="FFFF0000"/>
        <rFont val="Arial"/>
        <family val="2"/>
      </rPr>
      <t>Passo Fundo/RS (Conforme (critério dis disposto no item 4.15 do Termo de Referência, deverá ser informada a Convenção Coletiva de Trabalho a qual a empresa licitante/contratada se vincula por sua atividade principal, na forma do art. 92, V e X, da Lei n.º 14.133, de 2021. Para este campo a Administração tomou por base a CCT do Sinsasseio 2023/2023, a qual estipula em sua Cláusula Vigésima o fornecimento de vale-tranporte e a contrapartida de 6% do empregado).</t>
    </r>
  </si>
  <si>
    <r>
      <t xml:space="preserve">      B.1) Valor do auxílio-alimentação: </t>
    </r>
    <r>
      <rPr>
        <b/>
        <sz val="10"/>
        <color rgb="FFFF0000"/>
        <rFont val="Arial"/>
        <family val="2"/>
      </rPr>
      <t>(Conforme critério dis disposto no item 4.15 do Termo de Referência, deverá ser informada a Convenção Coletiva de Trabalho a qual a empresa licitante/contratada se vincula por sua atividade principal, na forma do art. 92, V e X, da Lei n.º 14.133, de 2021. Para este campo a Administração tomou por base a CCT do Sinsasseio 2023/2023, a qual estipula em sua Cláusula Décima-Oitava o valor do Auxilio Alimentação/Refeição em R$ 22,00).</t>
    </r>
  </si>
  <si>
    <r>
      <t xml:space="preserve">      B.3) Contrapartida do empregado: </t>
    </r>
    <r>
      <rPr>
        <b/>
        <sz val="10"/>
        <color rgb="FFFF0000"/>
        <rFont val="Arial"/>
        <family val="2"/>
      </rPr>
      <t>(Conforme critério dis disposto no item 4.15 do Termo de Referência, deverá ser informada a Convenção Coletiva de Trabalho a qual a empresa licitante/contratada se vincula por sua atividade principal, na forma do art. 92, V e X, da Lei n.º 14.133, de 2021. Para este campo a Administração tomou por base a CCT do Sinsasseio 2023/2023, a qual estipula em sua Cláusula Décima-Nona a contraparida de desconto do empregado em 19%).</t>
    </r>
  </si>
  <si>
    <r>
      <t xml:space="preserve">Outros - </t>
    </r>
    <r>
      <rPr>
        <b/>
        <sz val="10"/>
        <rFont val="Arial"/>
        <family val="2"/>
      </rPr>
      <t xml:space="preserve"> Plano de Benefício Social Familiar: </t>
    </r>
    <r>
      <rPr>
        <b/>
        <sz val="10"/>
        <color rgb="FFFF0000"/>
        <rFont val="Arial"/>
        <family val="2"/>
      </rPr>
      <t>(Conforme critério dis disposto no item 4.15 do Termo de Referência, deverá ser informada a Convenção Coletiva de Trabalho a qual a empresa licitante/contratada se vincula por sua atividade principal, na forma do art. 92, V e X, da Lei n.º 14.133, de 2021. Para este campo a Administração tomou por base a CCT do Sinsasseio 2023/2023, a qual estipula em sua Cláusula Vigésima-Nona o pagamento de um plano de benefícios familiar).</t>
    </r>
  </si>
  <si>
    <r>
      <t xml:space="preserve">Transporte                                          </t>
    </r>
    <r>
      <rPr>
        <b/>
        <sz val="10"/>
        <color rgb="FFFF0000"/>
        <rFont val="Arial"/>
        <family val="2"/>
      </rPr>
      <t>Cálculo do valor: [( 2 x VT x 21 dias ) – ( 6% x SB )]</t>
    </r>
  </si>
  <si>
    <r>
      <t xml:space="preserve">Auxílio-Refeição/Alimentação </t>
    </r>
    <r>
      <rPr>
        <b/>
        <sz val="10"/>
        <color rgb="FFFF0000"/>
        <rFont val="Arial"/>
        <family val="2"/>
      </rPr>
      <t xml:space="preserve">        Cálculo do valor: [(VA ou VR x 21 dias) x ( 1 - contrapartida)]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</si>
</sst>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00%"/>
    <numFmt numFmtId="165" formatCode="0.0000"/>
    <numFmt numFmtId="166" formatCode="0.0000%"/>
    <numFmt numFmtId="167" formatCode="&quot;R$ &quot;#,##0.00"/>
    <numFmt numFmtId="168" formatCode="_(&quot;R$ &quot;* #,##0.00_);_(&quot;R$ &quot;* \(#,##0.00\);_(&quot;R$ &quot;* \-??_);_(@_)"/>
    <numFmt numFmtId="169" formatCode="_([$€-2]* #,##0.00_);_([$€-2]* \(#,##0.00\);_([$€-2]* &quot;-&quot;??_)"/>
    <numFmt numFmtId="170" formatCode="#,##0.00&quot; &quot;;#,##0.00&quot; &quot;;&quot;-&quot;#&quot; &quot;;&quot; &quot;@&quot; &quot;"/>
    <numFmt numFmtId="171" formatCode="_(&quot;R$ &quot;* #,##0.00_);_(&quot;R$ &quot;* \(#,##0.00\);_(&quot;R$ &quot;* &quot;-&quot;??_);_(@_)"/>
    <numFmt numFmtId="172" formatCode="#,##0.00\ ;&quot; (&quot;#,##0.00\);&quot; -&quot;#\ ;@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rgb="FF009900"/>
      <name val="Arial"/>
      <family val="2"/>
    </font>
    <font>
      <b/>
      <sz val="10"/>
      <color rgb="FFFF0000"/>
      <name val="Arial"/>
      <family val="2"/>
    </font>
    <font>
      <b/>
      <sz val="10"/>
      <color rgb="FF0000FF"/>
      <name val="Arial"/>
      <family val="2"/>
    </font>
    <font>
      <sz val="10"/>
      <color rgb="FFFF0000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i/>
      <u/>
      <sz val="10"/>
      <color rgb="FFFF0000"/>
      <name val="Arial"/>
      <family val="2"/>
    </font>
    <font>
      <b/>
      <sz val="10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0"/>
      <color rgb="FF00000A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92D050"/>
      <name val="Calibri"/>
      <family val="2"/>
      <scheme val="minor"/>
    </font>
    <font>
      <sz val="11"/>
      <color indexed="17"/>
      <name val="Calibri"/>
      <family val="2"/>
    </font>
    <font>
      <sz val="11"/>
      <color theme="1"/>
      <name val="Liberation Sans"/>
      <family val="2"/>
    </font>
    <font>
      <sz val="11"/>
      <color indexed="60"/>
      <name val="Calibri"/>
      <family val="2"/>
    </font>
    <font>
      <sz val="11"/>
      <color rgb="FF000000"/>
      <name val="Calibri"/>
      <family val="2"/>
    </font>
    <font>
      <sz val="11"/>
      <color indexed="8"/>
      <name val="Calibri"/>
      <family val="2"/>
    </font>
    <font>
      <sz val="11"/>
      <color indexed="20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8"/>
      <color indexed="62"/>
      <name val="Cambria"/>
      <family val="2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theme="6"/>
        <bgColor indexed="64"/>
      </patternFill>
    </fill>
    <fill>
      <patternFill patternType="solid">
        <fgColor theme="6"/>
        <bgColor rgb="FFCCFFC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45"/>
        <bgColor indexed="29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FFFFFF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rgb="FFFFFFFF"/>
      </patternFill>
    </fill>
    <fill>
      <patternFill patternType="solid">
        <fgColor theme="9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 style="hair">
        <color indexed="8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medium">
        <color indexed="64"/>
      </left>
      <right/>
      <top style="hair">
        <color indexed="8"/>
      </top>
      <bottom style="hair">
        <color indexed="8"/>
      </bottom>
      <diagonal/>
    </border>
    <border>
      <left style="hair">
        <color rgb="FF000000"/>
      </left>
      <right/>
      <top style="hair">
        <color indexed="8"/>
      </top>
      <bottom style="hair">
        <color indexed="8"/>
      </bottom>
      <diagonal/>
    </border>
    <border>
      <left style="hair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hair">
        <color indexed="8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 style="medium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64"/>
      </bottom>
      <diagonal/>
    </border>
    <border>
      <left style="hair">
        <color indexed="8"/>
      </left>
      <right/>
      <top style="hair">
        <color indexed="8"/>
      </top>
      <bottom style="medium">
        <color indexed="64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medium">
        <color indexed="64"/>
      </bottom>
      <diagonal/>
    </border>
    <border>
      <left style="medium">
        <color indexed="64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medium">
        <color rgb="FF000000"/>
      </left>
      <right style="medium">
        <color rgb="FF000000"/>
      </right>
      <top/>
      <bottom style="hair">
        <color indexed="8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hair">
        <color rgb="FF000000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7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20" fillId="9" borderId="0" applyNumberFormat="0" applyBorder="0" applyAlignment="0" applyProtection="0"/>
    <xf numFmtId="169" fontId="9" fillId="0" borderId="0" applyFont="0" applyFill="0" applyBorder="0" applyAlignment="0" applyProtection="0"/>
    <xf numFmtId="170" fontId="21" fillId="0" borderId="0"/>
    <xf numFmtId="44" fontId="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2" fillId="10" borderId="0" applyNumberFormat="0" applyBorder="0" applyAlignment="0" applyProtection="0"/>
    <xf numFmtId="0" fontId="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4" fillId="11" borderId="28" applyNumberFormat="0" applyAlignment="0" applyProtection="0"/>
    <xf numFmtId="9" fontId="9" fillId="0" borderId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25" fillId="12" borderId="0" applyNumberFormat="0" applyBorder="0" applyAlignment="0" applyProtection="0"/>
    <xf numFmtId="0" fontId="26" fillId="0" borderId="29" applyNumberFormat="0" applyFill="0" applyAlignment="0" applyProtection="0"/>
    <xf numFmtId="0" fontId="27" fillId="0" borderId="30" applyNumberFormat="0" applyFill="0" applyAlignment="0" applyProtection="0"/>
    <xf numFmtId="0" fontId="28" fillId="0" borderId="0" applyNumberFormat="0" applyFill="0" applyBorder="0" applyAlignment="0" applyProtection="0"/>
    <xf numFmtId="43" fontId="9" fillId="0" borderId="0" applyFont="0" applyFill="0" applyBorder="0" applyAlignment="0" applyProtection="0"/>
    <xf numFmtId="172" fontId="9" fillId="0" borderId="0" applyFill="0" applyBorder="0" applyAlignment="0" applyProtection="0"/>
  </cellStyleXfs>
  <cellXfs count="265">
    <xf numFmtId="0" fontId="0" fillId="0" borderId="0" xfId="0"/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4" fontId="8" fillId="0" borderId="0" xfId="2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right" vertical="center" wrapText="1"/>
    </xf>
    <xf numFmtId="4" fontId="2" fillId="0" borderId="6" xfId="0" applyNumberFormat="1" applyFont="1" applyBorder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10" fontId="2" fillId="0" borderId="6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right" vertical="center"/>
    </xf>
    <xf numFmtId="164" fontId="2" fillId="0" borderId="6" xfId="0" applyNumberFormat="1" applyFont="1" applyBorder="1" applyAlignment="1">
      <alignment horizontal="center" vertical="center"/>
    </xf>
    <xf numFmtId="10" fontId="2" fillId="0" borderId="6" xfId="0" applyNumberFormat="1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 wrapText="1"/>
    </xf>
    <xf numFmtId="166" fontId="2" fillId="0" borderId="6" xfId="0" applyNumberFormat="1" applyFont="1" applyBorder="1" applyAlignment="1">
      <alignment horizontal="right" vertical="center"/>
    </xf>
    <xf numFmtId="4" fontId="2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vertical="center"/>
    </xf>
    <xf numFmtId="10" fontId="8" fillId="0" borderId="0" xfId="3" applyNumberFormat="1" applyFont="1" applyAlignment="1">
      <alignment vertical="center"/>
    </xf>
    <xf numFmtId="10" fontId="6" fillId="3" borderId="6" xfId="0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4" fontId="5" fillId="0" borderId="6" xfId="0" applyNumberFormat="1" applyFont="1" applyBorder="1" applyAlignment="1">
      <alignment horizontal="right" vertical="center"/>
    </xf>
    <xf numFmtId="10" fontId="5" fillId="0" borderId="6" xfId="0" applyNumberFormat="1" applyFont="1" applyBorder="1" applyAlignment="1">
      <alignment horizontal="center" vertical="center"/>
    </xf>
    <xf numFmtId="44" fontId="8" fillId="0" borderId="0" xfId="0" applyNumberFormat="1" applyFont="1" applyAlignment="1">
      <alignment vertical="center"/>
    </xf>
    <xf numFmtId="10" fontId="2" fillId="0" borderId="6" xfId="0" applyNumberFormat="1" applyFont="1" applyBorder="1" applyAlignment="1">
      <alignment horizontal="center" vertical="center" wrapText="1"/>
    </xf>
    <xf numFmtId="10" fontId="5" fillId="0" borderId="6" xfId="0" applyNumberFormat="1" applyFont="1" applyBorder="1" applyAlignment="1">
      <alignment horizontal="right" vertical="center"/>
    </xf>
    <xf numFmtId="49" fontId="2" fillId="0" borderId="6" xfId="0" applyNumberFormat="1" applyFont="1" applyBorder="1" applyAlignment="1">
      <alignment horizontal="center" vertical="center" wrapText="1"/>
    </xf>
    <xf numFmtId="1" fontId="5" fillId="6" borderId="3" xfId="1" applyNumberFormat="1" applyFont="1" applyFill="1" applyBorder="1" applyAlignment="1">
      <alignment horizontal="center" vertical="center"/>
    </xf>
    <xf numFmtId="4" fontId="2" fillId="7" borderId="6" xfId="0" applyNumberFormat="1" applyFont="1" applyFill="1" applyBorder="1" applyAlignment="1">
      <alignment horizontal="right" vertical="center" wrapText="1"/>
    </xf>
    <xf numFmtId="0" fontId="10" fillId="6" borderId="2" xfId="0" applyFont="1" applyFill="1" applyBorder="1" applyAlignment="1">
      <alignment vertical="center"/>
    </xf>
    <xf numFmtId="0" fontId="2" fillId="6" borderId="2" xfId="0" applyFont="1" applyFill="1" applyBorder="1" applyAlignment="1">
      <alignment vertical="center" wrapText="1"/>
    </xf>
    <xf numFmtId="0" fontId="12" fillId="6" borderId="2" xfId="0" applyFont="1" applyFill="1" applyBorder="1" applyAlignment="1">
      <alignment vertical="center"/>
    </xf>
    <xf numFmtId="0" fontId="0" fillId="6" borderId="0" xfId="0" applyFill="1" applyAlignment="1">
      <alignment vertical="center"/>
    </xf>
    <xf numFmtId="0" fontId="8" fillId="6" borderId="0" xfId="0" applyFont="1" applyFill="1" applyAlignment="1">
      <alignment vertical="center"/>
    </xf>
    <xf numFmtId="0" fontId="2" fillId="5" borderId="6" xfId="0" applyFont="1" applyFill="1" applyBorder="1" applyAlignment="1">
      <alignment horizontal="center" vertical="center" wrapText="1"/>
    </xf>
    <xf numFmtId="4" fontId="2" fillId="5" borderId="6" xfId="0" applyNumberFormat="1" applyFont="1" applyFill="1" applyBorder="1" applyAlignment="1">
      <alignment horizontal="right" vertical="center"/>
    </xf>
    <xf numFmtId="0" fontId="2" fillId="5" borderId="6" xfId="0" applyFont="1" applyFill="1" applyBorder="1" applyAlignment="1">
      <alignment horizontal="center" vertical="center"/>
    </xf>
    <xf numFmtId="166" fontId="2" fillId="5" borderId="6" xfId="0" applyNumberFormat="1" applyFont="1" applyFill="1" applyBorder="1" applyAlignment="1">
      <alignment horizontal="right" vertical="center"/>
    </xf>
    <xf numFmtId="4" fontId="2" fillId="5" borderId="6" xfId="0" applyNumberFormat="1" applyFont="1" applyFill="1" applyBorder="1" applyAlignment="1">
      <alignment horizontal="right" vertical="center" wrapText="1"/>
    </xf>
    <xf numFmtId="9" fontId="12" fillId="8" borderId="6" xfId="0" applyNumberFormat="1" applyFont="1" applyFill="1" applyBorder="1" applyAlignment="1">
      <alignment horizontal="center" vertical="center" wrapText="1"/>
    </xf>
    <xf numFmtId="165" fontId="12" fillId="7" borderId="6" xfId="0" applyNumberFormat="1" applyFont="1" applyFill="1" applyBorder="1" applyAlignment="1">
      <alignment horizontal="center" vertical="center" wrapText="1"/>
    </xf>
    <xf numFmtId="4" fontId="12" fillId="7" borderId="6" xfId="0" applyNumberFormat="1" applyFont="1" applyFill="1" applyBorder="1" applyAlignment="1">
      <alignment horizontal="right" vertical="center"/>
    </xf>
    <xf numFmtId="10" fontId="2" fillId="7" borderId="6" xfId="0" applyNumberFormat="1" applyFont="1" applyFill="1" applyBorder="1" applyAlignment="1">
      <alignment horizontal="right" vertical="center" wrapText="1"/>
    </xf>
    <xf numFmtId="10" fontId="2" fillId="8" borderId="6" xfId="0" applyNumberFormat="1" applyFont="1" applyFill="1" applyBorder="1" applyAlignment="1">
      <alignment horizontal="right" vertical="center" wrapText="1"/>
    </xf>
    <xf numFmtId="10" fontId="12" fillId="7" borderId="6" xfId="0" applyNumberFormat="1" applyFont="1" applyFill="1" applyBorder="1" applyAlignment="1">
      <alignment horizontal="center" vertical="center"/>
    </xf>
    <xf numFmtId="166" fontId="2" fillId="7" borderId="6" xfId="0" applyNumberFormat="1" applyFont="1" applyFill="1" applyBorder="1" applyAlignment="1">
      <alignment horizontal="right" vertical="center"/>
    </xf>
    <xf numFmtId="166" fontId="2" fillId="8" borderId="6" xfId="0" applyNumberFormat="1" applyFont="1" applyFill="1" applyBorder="1" applyAlignment="1">
      <alignment horizontal="right" vertical="center"/>
    </xf>
    <xf numFmtId="0" fontId="8" fillId="6" borderId="2" xfId="0" applyFont="1" applyFill="1" applyBorder="1" applyAlignment="1">
      <alignment vertical="center"/>
    </xf>
    <xf numFmtId="0" fontId="2" fillId="6" borderId="2" xfId="0" applyFont="1" applyFill="1" applyBorder="1" applyAlignment="1">
      <alignment horizontal="left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vertical="center"/>
    </xf>
    <xf numFmtId="4" fontId="2" fillId="8" borderId="6" xfId="0" applyNumberFormat="1" applyFont="1" applyFill="1" applyBorder="1" applyAlignment="1">
      <alignment horizontal="right" vertical="center"/>
    </xf>
    <xf numFmtId="4" fontId="2" fillId="8" borderId="6" xfId="0" applyNumberFormat="1" applyFont="1" applyFill="1" applyBorder="1" applyAlignment="1">
      <alignment horizontal="right" vertical="center" wrapText="1"/>
    </xf>
    <xf numFmtId="167" fontId="12" fillId="7" borderId="6" xfId="0" applyNumberFormat="1" applyFont="1" applyFill="1" applyBorder="1" applyAlignment="1">
      <alignment horizontal="center" vertical="center"/>
    </xf>
    <xf numFmtId="3" fontId="12" fillId="7" borderId="6" xfId="0" applyNumberFormat="1" applyFont="1" applyFill="1" applyBorder="1" applyAlignment="1">
      <alignment horizontal="center" vertical="center"/>
    </xf>
    <xf numFmtId="9" fontId="12" fillId="7" borderId="6" xfId="3" applyFont="1" applyFill="1" applyBorder="1" applyAlignment="1">
      <alignment horizontal="center" vertical="center"/>
    </xf>
    <xf numFmtId="168" fontId="9" fillId="0" borderId="16" xfId="2" applyNumberFormat="1" applyFont="1" applyFill="1" applyBorder="1" applyAlignment="1">
      <alignment horizontal="right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6" borderId="0" xfId="0" applyFill="1"/>
    <xf numFmtId="0" fontId="16" fillId="0" borderId="24" xfId="0" applyFont="1" applyBorder="1" applyAlignment="1">
      <alignment horizontal="justify" readingOrder="1"/>
    </xf>
    <xf numFmtId="44" fontId="0" fillId="0" borderId="0" xfId="2" applyFont="1"/>
    <xf numFmtId="44" fontId="19" fillId="0" borderId="0" xfId="2" applyFont="1"/>
    <xf numFmtId="0" fontId="0" fillId="0" borderId="24" xfId="0" applyBorder="1" applyAlignment="1">
      <alignment horizontal="center"/>
    </xf>
    <xf numFmtId="0" fontId="0" fillId="7" borderId="24" xfId="0" applyFill="1" applyBorder="1" applyAlignment="1">
      <alignment horizontal="center"/>
    </xf>
    <xf numFmtId="4" fontId="2" fillId="14" borderId="6" xfId="0" applyNumberFormat="1" applyFont="1" applyFill="1" applyBorder="1" applyAlignment="1">
      <alignment horizontal="right" vertical="center"/>
    </xf>
    <xf numFmtId="4" fontId="2" fillId="14" borderId="6" xfId="0" applyNumberFormat="1" applyFont="1" applyFill="1" applyBorder="1" applyAlignment="1">
      <alignment horizontal="right" vertical="center" wrapText="1"/>
    </xf>
    <xf numFmtId="43" fontId="17" fillId="4" borderId="24" xfId="1" applyFont="1" applyFill="1" applyBorder="1"/>
    <xf numFmtId="43" fontId="18" fillId="6" borderId="24" xfId="1" applyFont="1" applyFill="1" applyBorder="1"/>
    <xf numFmtId="43" fontId="30" fillId="6" borderId="24" xfId="1" applyFont="1" applyFill="1" applyBorder="1" applyAlignment="1">
      <alignment horizontal="center"/>
    </xf>
    <xf numFmtId="0" fontId="17" fillId="0" borderId="24" xfId="0" applyFont="1" applyBorder="1" applyAlignment="1">
      <alignment horizontal="center" vertical="top"/>
    </xf>
    <xf numFmtId="0" fontId="30" fillId="0" borderId="21" xfId="0" applyFont="1" applyBorder="1" applyAlignment="1">
      <alignment horizontal="center" vertical="center"/>
    </xf>
    <xf numFmtId="0" fontId="15" fillId="6" borderId="31" xfId="0" applyFont="1" applyFill="1" applyBorder="1" applyAlignment="1">
      <alignment vertical="center"/>
    </xf>
    <xf numFmtId="0" fontId="0" fillId="6" borderId="31" xfId="0" applyFill="1" applyBorder="1" applyAlignment="1">
      <alignment horizontal="left" vertical="center"/>
    </xf>
    <xf numFmtId="0" fontId="0" fillId="0" borderId="33" xfId="0" applyBorder="1" applyAlignment="1">
      <alignment horizontal="center" vertical="center"/>
    </xf>
    <xf numFmtId="0" fontId="17" fillId="0" borderId="34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top" wrapText="1"/>
    </xf>
    <xf numFmtId="4" fontId="2" fillId="7" borderId="6" xfId="0" applyNumberFormat="1" applyFont="1" applyFill="1" applyBorder="1" applyAlignment="1">
      <alignment horizontal="right" vertical="center"/>
    </xf>
    <xf numFmtId="10" fontId="2" fillId="7" borderId="6" xfId="0" applyNumberFormat="1" applyFont="1" applyFill="1" applyBorder="1" applyAlignment="1">
      <alignment horizontal="right" vertical="center"/>
    </xf>
    <xf numFmtId="0" fontId="0" fillId="6" borderId="24" xfId="0" applyFill="1" applyBorder="1" applyAlignment="1">
      <alignment horizontal="center"/>
    </xf>
    <xf numFmtId="0" fontId="16" fillId="7" borderId="24" xfId="0" applyFont="1" applyFill="1" applyBorder="1" applyAlignment="1">
      <alignment horizontal="justify" readingOrder="1"/>
    </xf>
    <xf numFmtId="43" fontId="0" fillId="7" borderId="24" xfId="1" applyFont="1" applyFill="1" applyBorder="1" applyAlignment="1">
      <alignment horizontal="center"/>
    </xf>
    <xf numFmtId="43" fontId="0" fillId="0" borderId="24" xfId="1" applyFont="1" applyBorder="1" applyAlignment="1">
      <alignment horizontal="center"/>
    </xf>
    <xf numFmtId="43" fontId="30" fillId="4" borderId="24" xfId="1" applyFont="1" applyFill="1" applyBorder="1"/>
    <xf numFmtId="0" fontId="0" fillId="7" borderId="24" xfId="0" applyFill="1" applyBorder="1" applyAlignment="1">
      <alignment horizontal="center" wrapText="1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vertical="center"/>
    </xf>
    <xf numFmtId="168" fontId="9" fillId="0" borderId="36" xfId="2" applyNumberFormat="1" applyFont="1" applyFill="1" applyBorder="1" applyAlignment="1">
      <alignment horizontal="right" vertical="center"/>
    </xf>
    <xf numFmtId="168" fontId="9" fillId="0" borderId="37" xfId="2" applyNumberFormat="1" applyFont="1" applyFill="1" applyBorder="1" applyAlignment="1">
      <alignment horizontal="right" vertical="center"/>
    </xf>
    <xf numFmtId="0" fontId="0" fillId="0" borderId="0" xfId="0" applyAlignment="1">
      <alignment vertical="top"/>
    </xf>
    <xf numFmtId="0" fontId="0" fillId="0" borderId="24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vertical="center"/>
    </xf>
    <xf numFmtId="168" fontId="9" fillId="0" borderId="40" xfId="2" applyNumberFormat="1" applyFont="1" applyFill="1" applyBorder="1" applyAlignment="1">
      <alignment horizontal="right" vertical="center"/>
    </xf>
    <xf numFmtId="168" fontId="9" fillId="0" borderId="42" xfId="2" applyNumberFormat="1" applyFont="1" applyFill="1" applyBorder="1" applyAlignment="1">
      <alignment horizontal="right" vertical="center"/>
    </xf>
    <xf numFmtId="168" fontId="9" fillId="0" borderId="43" xfId="2" applyNumberFormat="1" applyFont="1" applyFill="1" applyBorder="1" applyAlignment="1">
      <alignment horizontal="right" vertical="center"/>
    </xf>
    <xf numFmtId="0" fontId="0" fillId="0" borderId="44" xfId="0" applyBorder="1" applyAlignment="1">
      <alignment horizontal="center" vertical="center"/>
    </xf>
    <xf numFmtId="0" fontId="12" fillId="0" borderId="45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 wrapText="1"/>
    </xf>
    <xf numFmtId="0" fontId="12" fillId="0" borderId="47" xfId="0" applyFont="1" applyBorder="1" applyAlignment="1">
      <alignment horizontal="center" vertical="center" wrapText="1"/>
    </xf>
    <xf numFmtId="168" fontId="12" fillId="0" borderId="20" xfId="2" applyNumberFormat="1" applyFont="1" applyFill="1" applyBorder="1" applyAlignment="1">
      <alignment horizontal="right" vertical="center"/>
    </xf>
    <xf numFmtId="0" fontId="17" fillId="0" borderId="0" xfId="0" applyFont="1" applyAlignment="1">
      <alignment horizontal="center" vertical="center"/>
    </xf>
    <xf numFmtId="0" fontId="12" fillId="6" borderId="0" xfId="0" applyFont="1" applyFill="1" applyAlignment="1">
      <alignment horizontal="center" vertical="center"/>
    </xf>
    <xf numFmtId="168" fontId="12" fillId="6" borderId="0" xfId="2" applyNumberFormat="1" applyFont="1" applyFill="1" applyBorder="1" applyAlignment="1">
      <alignment vertical="center"/>
    </xf>
    <xf numFmtId="168" fontId="12" fillId="0" borderId="50" xfId="2" applyNumberFormat="1" applyFont="1" applyFill="1" applyBorder="1" applyAlignment="1">
      <alignment vertical="center"/>
    </xf>
    <xf numFmtId="4" fontId="2" fillId="6" borderId="6" xfId="0" applyNumberFormat="1" applyFont="1" applyFill="1" applyBorder="1" applyAlignment="1">
      <alignment horizontal="right" vertical="center"/>
    </xf>
    <xf numFmtId="0" fontId="0" fillId="0" borderId="13" xfId="0" applyBorder="1" applyAlignment="1">
      <alignment horizontal="center" vertical="center" wrapText="1"/>
    </xf>
    <xf numFmtId="168" fontId="12" fillId="6" borderId="32" xfId="2" applyNumberFormat="1" applyFont="1" applyFill="1" applyBorder="1" applyAlignment="1">
      <alignment vertical="center"/>
    </xf>
    <xf numFmtId="0" fontId="0" fillId="0" borderId="41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10" fontId="2" fillId="16" borderId="6" xfId="0" applyNumberFormat="1" applyFont="1" applyFill="1" applyBorder="1" applyAlignment="1">
      <alignment horizontal="right" vertical="center" wrapText="1"/>
    </xf>
    <xf numFmtId="4" fontId="2" fillId="17" borderId="6" xfId="0" applyNumberFormat="1" applyFont="1" applyFill="1" applyBorder="1" applyAlignment="1">
      <alignment horizontal="right" vertical="center" wrapText="1"/>
    </xf>
    <xf numFmtId="9" fontId="12" fillId="17" borderId="6" xfId="3" applyFont="1" applyFill="1" applyBorder="1" applyAlignment="1">
      <alignment horizontal="center" vertical="center"/>
    </xf>
    <xf numFmtId="167" fontId="12" fillId="17" borderId="6" xfId="0" applyNumberFormat="1" applyFont="1" applyFill="1" applyBorder="1" applyAlignment="1">
      <alignment horizontal="center" vertical="center"/>
    </xf>
    <xf numFmtId="0" fontId="0" fillId="17" borderId="41" xfId="0" applyFill="1" applyBorder="1" applyAlignment="1">
      <alignment horizontal="center" vertical="center"/>
    </xf>
    <xf numFmtId="0" fontId="0" fillId="17" borderId="38" xfId="0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vertical="center"/>
    </xf>
    <xf numFmtId="0" fontId="2" fillId="0" borderId="3" xfId="0" applyFont="1" applyBorder="1" applyAlignment="1">
      <alignment horizontal="left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8" fillId="7" borderId="2" xfId="0" applyFont="1" applyFill="1" applyBorder="1" applyAlignment="1">
      <alignment vertical="center"/>
    </xf>
    <xf numFmtId="0" fontId="8" fillId="7" borderId="3" xfId="0" applyFont="1" applyFill="1" applyBorder="1" applyAlignment="1">
      <alignment vertical="center"/>
    </xf>
    <xf numFmtId="0" fontId="2" fillId="5" borderId="1" xfId="0" applyFont="1" applyFill="1" applyBorder="1" applyAlignment="1">
      <alignment vertical="center" wrapText="1"/>
    </xf>
    <xf numFmtId="0" fontId="9" fillId="4" borderId="2" xfId="0" applyFont="1" applyFill="1" applyBorder="1" applyAlignment="1">
      <alignment vertical="center"/>
    </xf>
    <xf numFmtId="0" fontId="9" fillId="4" borderId="3" xfId="0" applyFont="1" applyFill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14" fontId="2" fillId="7" borderId="1" xfId="0" applyNumberFormat="1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 vertical="center" wrapText="1"/>
    </xf>
    <xf numFmtId="0" fontId="13" fillId="7" borderId="2" xfId="0" applyFont="1" applyFill="1" applyBorder="1" applyAlignment="1">
      <alignment horizontal="center" vertical="center" wrapText="1"/>
    </xf>
    <xf numFmtId="0" fontId="13" fillId="7" borderId="3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vertical="center"/>
    </xf>
    <xf numFmtId="0" fontId="15" fillId="4" borderId="3" xfId="0" applyFont="1" applyFill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" fontId="5" fillId="7" borderId="1" xfId="0" applyNumberFormat="1" applyFont="1" applyFill="1" applyBorder="1" applyAlignment="1">
      <alignment horizontal="center" vertical="center" wrapText="1"/>
    </xf>
    <xf numFmtId="4" fontId="5" fillId="7" borderId="3" xfId="0" applyNumberFormat="1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vertical="center" wrapText="1"/>
    </xf>
    <xf numFmtId="0" fontId="2" fillId="7" borderId="3" xfId="0" applyFont="1" applyFill="1" applyBorder="1" applyAlignment="1">
      <alignment vertical="center" wrapText="1"/>
    </xf>
    <xf numFmtId="0" fontId="10" fillId="7" borderId="2" xfId="0" applyFont="1" applyFill="1" applyBorder="1" applyAlignment="1">
      <alignment vertical="center"/>
    </xf>
    <xf numFmtId="0" fontId="10" fillId="7" borderId="3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1" fontId="5" fillId="7" borderId="1" xfId="0" applyNumberFormat="1" applyFont="1" applyFill="1" applyBorder="1" applyAlignment="1">
      <alignment horizontal="center" vertical="center" wrapText="1"/>
    </xf>
    <xf numFmtId="1" fontId="5" fillId="7" borderId="3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vertical="center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14" fontId="2" fillId="7" borderId="3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right" vertical="center"/>
    </xf>
    <xf numFmtId="0" fontId="2" fillId="5" borderId="1" xfId="0" applyFont="1" applyFill="1" applyBorder="1" applyAlignment="1">
      <alignment horizontal="right" vertical="center" wrapText="1"/>
    </xf>
    <xf numFmtId="0" fontId="2" fillId="5" borderId="1" xfId="0" applyFont="1" applyFill="1" applyBorder="1" applyAlignment="1">
      <alignment horizontal="right" vertical="center"/>
    </xf>
    <xf numFmtId="0" fontId="2" fillId="5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horizontal="right" vertical="center"/>
    </xf>
    <xf numFmtId="49" fontId="2" fillId="0" borderId="1" xfId="0" applyNumberFormat="1" applyFont="1" applyBorder="1" applyAlignment="1">
      <alignment vertical="center" wrapText="1"/>
    </xf>
    <xf numFmtId="49" fontId="2" fillId="5" borderId="1" xfId="0" applyNumberFormat="1" applyFont="1" applyFill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49" fontId="2" fillId="5" borderId="1" xfId="0" applyNumberFormat="1" applyFont="1" applyFill="1" applyBorder="1" applyAlignment="1">
      <alignment vertical="center" wrapText="1"/>
    </xf>
    <xf numFmtId="0" fontId="5" fillId="0" borderId="1" xfId="0" applyFont="1" applyBorder="1" applyAlignment="1">
      <alignment horizontal="right" vertical="center" wrapText="1"/>
    </xf>
    <xf numFmtId="4" fontId="5" fillId="0" borderId="7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9" fillId="0" borderId="11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5" fillId="6" borderId="7" xfId="0" applyFont="1" applyFill="1" applyBorder="1" applyAlignment="1">
      <alignment vertical="center"/>
    </xf>
    <xf numFmtId="0" fontId="9" fillId="6" borderId="8" xfId="0" applyFont="1" applyFill="1" applyBorder="1" applyAlignment="1">
      <alignment vertical="center"/>
    </xf>
    <xf numFmtId="0" fontId="9" fillId="6" borderId="9" xfId="0" applyFont="1" applyFill="1" applyBorder="1" applyAlignment="1">
      <alignment vertical="center"/>
    </xf>
    <xf numFmtId="0" fontId="5" fillId="6" borderId="10" xfId="0" applyFont="1" applyFill="1" applyBorder="1" applyAlignment="1">
      <alignment vertical="center"/>
    </xf>
    <xf numFmtId="0" fontId="9" fillId="6" borderId="0" xfId="0" applyFont="1" applyFill="1" applyAlignment="1">
      <alignment vertical="center"/>
    </xf>
    <xf numFmtId="0" fontId="9" fillId="6" borderId="11" xfId="0" applyFont="1" applyFill="1" applyBorder="1" applyAlignment="1">
      <alignment vertical="center"/>
    </xf>
    <xf numFmtId="0" fontId="5" fillId="6" borderId="12" xfId="0" applyFont="1" applyFill="1" applyBorder="1" applyAlignment="1">
      <alignment vertical="center"/>
    </xf>
    <xf numFmtId="0" fontId="9" fillId="6" borderId="4" xfId="0" applyFont="1" applyFill="1" applyBorder="1" applyAlignment="1">
      <alignment vertical="center"/>
    </xf>
    <xf numFmtId="0" fontId="9" fillId="6" borderId="5" xfId="0" applyFont="1" applyFill="1" applyBorder="1" applyAlignment="1">
      <alignment vertical="center"/>
    </xf>
    <xf numFmtId="0" fontId="2" fillId="15" borderId="1" xfId="0" applyFont="1" applyFill="1" applyBorder="1" applyAlignment="1">
      <alignment horizontal="left" vertical="top" wrapText="1"/>
    </xf>
    <xf numFmtId="0" fontId="2" fillId="15" borderId="2" xfId="0" applyFont="1" applyFill="1" applyBorder="1" applyAlignment="1">
      <alignment horizontal="left" vertical="top" wrapText="1"/>
    </xf>
    <xf numFmtId="0" fontId="12" fillId="17" borderId="1" xfId="0" applyFont="1" applyFill="1" applyBorder="1" applyAlignment="1">
      <alignment horizontal="center" vertical="center" wrapText="1"/>
    </xf>
    <xf numFmtId="0" fontId="12" fillId="17" borderId="2" xfId="0" applyFont="1" applyFill="1" applyBorder="1" applyAlignment="1">
      <alignment horizontal="center" vertical="center" wrapText="1"/>
    </xf>
    <xf numFmtId="0" fontId="12" fillId="17" borderId="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vertical="center" wrapText="1"/>
    </xf>
    <xf numFmtId="0" fontId="12" fillId="17" borderId="1" xfId="0" applyFont="1" applyFill="1" applyBorder="1" applyAlignment="1">
      <alignment horizontal="center" vertical="center"/>
    </xf>
    <xf numFmtId="0" fontId="12" fillId="17" borderId="2" xfId="0" applyFont="1" applyFill="1" applyBorder="1" applyAlignment="1">
      <alignment horizontal="center" vertical="center"/>
    </xf>
    <xf numFmtId="0" fontId="12" fillId="17" borderId="3" xfId="0" applyFont="1" applyFill="1" applyBorder="1" applyAlignment="1">
      <alignment horizontal="center" vertical="center"/>
    </xf>
    <xf numFmtId="0" fontId="29" fillId="6" borderId="3" xfId="0" applyFont="1" applyFill="1" applyBorder="1" applyAlignment="1">
      <alignment vertical="center"/>
    </xf>
    <xf numFmtId="0" fontId="12" fillId="13" borderId="1" xfId="0" applyFont="1" applyFill="1" applyBorder="1" applyAlignment="1">
      <alignment horizontal="center" vertical="center" wrapText="1"/>
    </xf>
    <xf numFmtId="0" fontId="12" fillId="13" borderId="3" xfId="0" applyFont="1" applyFill="1" applyBorder="1" applyAlignment="1">
      <alignment horizontal="center" vertical="center" wrapText="1"/>
    </xf>
    <xf numFmtId="0" fontId="2" fillId="15" borderId="3" xfId="0" applyFont="1" applyFill="1" applyBorder="1" applyAlignment="1">
      <alignment horizontal="left" vertical="top" wrapText="1"/>
    </xf>
    <xf numFmtId="4" fontId="12" fillId="6" borderId="1" xfId="0" applyNumberFormat="1" applyFont="1" applyFill="1" applyBorder="1" applyAlignment="1">
      <alignment horizontal="center" vertical="center" wrapText="1"/>
    </xf>
    <xf numFmtId="4" fontId="12" fillId="6" borderId="3" xfId="0" applyNumberFormat="1" applyFont="1" applyFill="1" applyBorder="1" applyAlignment="1">
      <alignment horizontal="center" vertical="center" wrapText="1"/>
    </xf>
    <xf numFmtId="1" fontId="12" fillId="6" borderId="1" xfId="0" applyNumberFormat="1" applyFont="1" applyFill="1" applyBorder="1" applyAlignment="1">
      <alignment horizontal="center" vertical="center" wrapText="1"/>
    </xf>
    <xf numFmtId="1" fontId="12" fillId="6" borderId="3" xfId="0" applyNumberFormat="1" applyFont="1" applyFill="1" applyBorder="1" applyAlignment="1">
      <alignment horizontal="center" vertical="center" wrapText="1"/>
    </xf>
    <xf numFmtId="14" fontId="12" fillId="17" borderId="1" xfId="0" applyNumberFormat="1" applyFont="1" applyFill="1" applyBorder="1" applyAlignment="1">
      <alignment horizontal="center" vertical="center"/>
    </xf>
    <xf numFmtId="14" fontId="12" fillId="17" borderId="3" xfId="0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vertical="center" wrapText="1"/>
    </xf>
    <xf numFmtId="0" fontId="9" fillId="7" borderId="2" xfId="0" applyFont="1" applyFill="1" applyBorder="1" applyAlignment="1">
      <alignment vertical="center"/>
    </xf>
    <xf numFmtId="0" fontId="9" fillId="7" borderId="3" xfId="0" applyFont="1" applyFill="1" applyBorder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12" fillId="15" borderId="1" xfId="0" applyFont="1" applyFill="1" applyBorder="1" applyAlignment="1">
      <alignment vertical="top" wrapText="1"/>
    </xf>
    <xf numFmtId="0" fontId="9" fillId="15" borderId="2" xfId="0" applyFont="1" applyFill="1" applyBorder="1" applyAlignment="1">
      <alignment vertical="top"/>
    </xf>
    <xf numFmtId="0" fontId="9" fillId="15" borderId="3" xfId="0" applyFont="1" applyFill="1" applyBorder="1" applyAlignment="1">
      <alignment vertical="top"/>
    </xf>
    <xf numFmtId="0" fontId="12" fillId="0" borderId="1" xfId="0" applyFont="1" applyBorder="1" applyAlignment="1">
      <alignment vertical="center"/>
    </xf>
    <xf numFmtId="0" fontId="9" fillId="15" borderId="2" xfId="0" applyFont="1" applyFill="1" applyBorder="1" applyAlignment="1">
      <alignment vertical="top" wrapText="1"/>
    </xf>
    <xf numFmtId="0" fontId="9" fillId="15" borderId="3" xfId="0" applyFont="1" applyFill="1" applyBorder="1" applyAlignment="1">
      <alignment vertical="top" wrapText="1"/>
    </xf>
    <xf numFmtId="0" fontId="2" fillId="15" borderId="1" xfId="0" applyFont="1" applyFill="1" applyBorder="1" applyAlignment="1">
      <alignment vertical="top" wrapText="1"/>
    </xf>
    <xf numFmtId="0" fontId="2" fillId="7" borderId="1" xfId="0" applyFont="1" applyFill="1" applyBorder="1" applyAlignment="1">
      <alignment vertical="center"/>
    </xf>
    <xf numFmtId="0" fontId="0" fillId="0" borderId="24" xfId="0" applyBorder="1" applyAlignment="1">
      <alignment horizontal="center"/>
    </xf>
    <xf numFmtId="0" fontId="17" fillId="4" borderId="25" xfId="0" applyFont="1" applyFill="1" applyBorder="1" applyAlignment="1">
      <alignment horizontal="center" vertical="center"/>
    </xf>
    <xf numFmtId="0" fontId="17" fillId="4" borderId="26" xfId="0" applyFont="1" applyFill="1" applyBorder="1" applyAlignment="1">
      <alignment horizontal="center" vertical="center"/>
    </xf>
    <xf numFmtId="0" fontId="17" fillId="4" borderId="27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17" fillId="4" borderId="25" xfId="0" applyFont="1" applyFill="1" applyBorder="1" applyAlignment="1">
      <alignment horizontal="center" vertical="top"/>
    </xf>
    <xf numFmtId="0" fontId="17" fillId="4" borderId="26" xfId="0" applyFont="1" applyFill="1" applyBorder="1" applyAlignment="1">
      <alignment horizontal="center" vertical="top"/>
    </xf>
    <xf numFmtId="0" fontId="17" fillId="4" borderId="27" xfId="0" applyFont="1" applyFill="1" applyBorder="1" applyAlignment="1">
      <alignment horizontal="center" vertical="top"/>
    </xf>
    <xf numFmtId="0" fontId="17" fillId="4" borderId="24" xfId="0" applyFont="1" applyFill="1" applyBorder="1" applyAlignment="1">
      <alignment horizontal="center" vertical="center"/>
    </xf>
    <xf numFmtId="0" fontId="0" fillId="0" borderId="2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14" fillId="4" borderId="17" xfId="0" applyFont="1" applyFill="1" applyBorder="1" applyAlignment="1">
      <alignment horizontal="center" vertical="center" wrapText="1"/>
    </xf>
    <xf numFmtId="0" fontId="15" fillId="4" borderId="18" xfId="0" applyFont="1" applyFill="1" applyBorder="1" applyAlignment="1">
      <alignment vertical="center"/>
    </xf>
    <xf numFmtId="0" fontId="15" fillId="4" borderId="19" xfId="0" applyFont="1" applyFill="1" applyBorder="1" applyAlignment="1">
      <alignment vertical="center"/>
    </xf>
    <xf numFmtId="0" fontId="0" fillId="0" borderId="48" xfId="0" applyBorder="1" applyAlignment="1">
      <alignment horizontal="left" vertical="center"/>
    </xf>
    <xf numFmtId="0" fontId="0" fillId="0" borderId="49" xfId="0" applyBorder="1" applyAlignment="1">
      <alignment horizontal="left" vertical="center"/>
    </xf>
    <xf numFmtId="0" fontId="12" fillId="0" borderId="51" xfId="0" applyFont="1" applyBorder="1" applyAlignment="1">
      <alignment horizontal="center" vertical="center"/>
    </xf>
    <xf numFmtId="0" fontId="12" fillId="0" borderId="52" xfId="0" applyFont="1" applyBorder="1" applyAlignment="1">
      <alignment horizontal="center" vertical="center"/>
    </xf>
    <xf numFmtId="0" fontId="12" fillId="0" borderId="53" xfId="0" applyFont="1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14" fillId="4" borderId="18" xfId="0" applyFont="1" applyFill="1" applyBorder="1" applyAlignment="1">
      <alignment horizontal="center" vertical="center" wrapText="1"/>
    </xf>
    <xf numFmtId="0" fontId="14" fillId="4" borderId="19" xfId="0" applyFont="1" applyFill="1" applyBorder="1" applyAlignment="1">
      <alignment horizontal="center" vertical="center" wrapText="1"/>
    </xf>
  </cellXfs>
  <cellStyles count="27">
    <cellStyle name="Bom 1" xfId="6"/>
    <cellStyle name="Euro" xfId="7"/>
    <cellStyle name="Excel_BuiltIn_Currency" xfId="8"/>
    <cellStyle name="Moeda" xfId="2" builtinId="4"/>
    <cellStyle name="Moeda 2" xfId="9"/>
    <cellStyle name="Moeda 3" xfId="10"/>
    <cellStyle name="Moeda 4" xfId="5"/>
    <cellStyle name="Neutro 1" xfId="11"/>
    <cellStyle name="Normal" xfId="0" builtinId="0"/>
    <cellStyle name="Normal 2" xfId="12"/>
    <cellStyle name="Normal 2 2" xfId="13"/>
    <cellStyle name="Normal 3" xfId="14"/>
    <cellStyle name="Normal 3 2" xfId="15"/>
    <cellStyle name="Normal 4" xfId="16"/>
    <cellStyle name="Normal 5" xfId="4"/>
    <cellStyle name="Nota 1" xfId="17"/>
    <cellStyle name="Porcentagem" xfId="3" builtinId="5"/>
    <cellStyle name="Porcentagem 2" xfId="18"/>
    <cellStyle name="Porcentagem 3" xfId="19"/>
    <cellStyle name="Porcentagem 4" xfId="20"/>
    <cellStyle name="Ruim 1" xfId="21"/>
    <cellStyle name="Título 1 1" xfId="22"/>
    <cellStyle name="Título 2 1" xfId="23"/>
    <cellStyle name="Título 5" xfId="24"/>
    <cellStyle name="Vírgula" xfId="1" builtinId="3"/>
    <cellStyle name="Vírgula 2" xfId="25"/>
    <cellStyle name="Vírgula 3" xfId="26"/>
  </cellStyles>
  <dxfs count="0"/>
  <tableStyles count="0" defaultTableStyle="TableStyleMedium9" defaultPivotStyle="PivotStyleLight16"/>
  <colors>
    <mruColors>
      <color rgb="FFEDCB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7"/>
  <sheetViews>
    <sheetView topLeftCell="A16" zoomScale="80" zoomScaleNormal="80" workbookViewId="0">
      <selection activeCell="A36" sqref="A36:J36"/>
    </sheetView>
  </sheetViews>
  <sheetFormatPr defaultColWidth="0" defaultRowHeight="23.1" customHeight="1" zeroHeight="1" x14ac:dyDescent="0.25"/>
  <cols>
    <col min="1" max="1" width="10.7109375" style="5" customWidth="1"/>
    <col min="2" max="10" width="15.7109375" style="5" customWidth="1"/>
    <col min="11" max="11" width="1.140625" style="5" customWidth="1"/>
    <col min="12" max="12" width="11.5703125" style="5" hidden="1" customWidth="1"/>
    <col min="13" max="13" width="13.28515625" style="5" hidden="1" customWidth="1"/>
    <col min="14" max="18" width="11.5703125" style="5" hidden="1" customWidth="1"/>
    <col min="19" max="20" width="15" style="5" hidden="1" customWidth="1"/>
    <col min="21" max="21" width="13.140625" style="5" hidden="1" customWidth="1"/>
    <col min="22" max="22" width="16.7109375" style="5" hidden="1" customWidth="1"/>
    <col min="23" max="23" width="12.85546875" style="5" hidden="1" customWidth="1"/>
    <col min="24" max="26" width="11.5703125" style="5" hidden="1" customWidth="1"/>
    <col min="27" max="16384" width="14.42578125" style="5" hidden="1"/>
  </cols>
  <sheetData>
    <row r="1" spans="1:11" ht="23.1" customHeight="1" x14ac:dyDescent="0.25">
      <c r="A1" s="135" t="s">
        <v>140</v>
      </c>
      <c r="B1" s="136"/>
      <c r="C1" s="136"/>
      <c r="D1" s="136"/>
      <c r="E1" s="136"/>
      <c r="F1" s="136"/>
      <c r="G1" s="137"/>
      <c r="H1" s="135" t="s">
        <v>106</v>
      </c>
      <c r="I1" s="136"/>
      <c r="J1" s="137"/>
      <c r="K1" s="34"/>
    </row>
    <row r="2" spans="1:11" ht="23.1" customHeight="1" x14ac:dyDescent="0.25">
      <c r="A2" s="138" t="s">
        <v>107</v>
      </c>
      <c r="B2" s="139"/>
      <c r="C2" s="139"/>
      <c r="D2" s="139"/>
      <c r="E2" s="139"/>
      <c r="F2" s="139"/>
      <c r="G2" s="139"/>
      <c r="H2" s="139"/>
      <c r="I2" s="139"/>
      <c r="J2" s="140"/>
      <c r="K2" s="34"/>
    </row>
    <row r="3" spans="1:11" s="6" customFormat="1" ht="23.1" customHeight="1" x14ac:dyDescent="0.25">
      <c r="A3" s="128" t="s">
        <v>0</v>
      </c>
      <c r="B3" s="120"/>
      <c r="C3" s="120"/>
      <c r="D3" s="120"/>
      <c r="E3" s="120"/>
      <c r="F3" s="120"/>
      <c r="G3" s="130"/>
      <c r="H3" s="122"/>
      <c r="I3" s="123"/>
      <c r="J3" s="124"/>
      <c r="K3" s="35"/>
    </row>
    <row r="4" spans="1:11" s="6" customFormat="1" ht="23.1" customHeight="1" x14ac:dyDescent="0.25">
      <c r="A4" s="128" t="s">
        <v>1</v>
      </c>
      <c r="B4" s="141"/>
      <c r="C4" s="141"/>
      <c r="D4" s="141"/>
      <c r="E4" s="141"/>
      <c r="F4" s="141"/>
      <c r="G4" s="130"/>
      <c r="H4" s="122"/>
      <c r="I4" s="123"/>
      <c r="J4" s="124"/>
      <c r="K4" s="35"/>
    </row>
    <row r="5" spans="1:11" s="6" customFormat="1" ht="23.1" customHeight="1" x14ac:dyDescent="0.25">
      <c r="A5" s="119" t="s">
        <v>108</v>
      </c>
      <c r="B5" s="120"/>
      <c r="C5" s="120"/>
      <c r="D5" s="120"/>
      <c r="E5" s="120"/>
      <c r="F5" s="120"/>
      <c r="G5" s="121"/>
      <c r="H5" s="122"/>
      <c r="I5" s="123"/>
      <c r="J5" s="124"/>
      <c r="K5" s="35"/>
    </row>
    <row r="6" spans="1:11" s="6" customFormat="1" ht="23.1" customHeight="1" x14ac:dyDescent="0.25">
      <c r="A6" s="50"/>
      <c r="B6" s="49"/>
      <c r="C6" s="49"/>
      <c r="D6" s="49"/>
      <c r="E6" s="49"/>
      <c r="F6" s="49"/>
      <c r="G6" s="50"/>
      <c r="H6" s="51"/>
      <c r="I6" s="49"/>
      <c r="J6" s="49"/>
      <c r="K6" s="35"/>
    </row>
    <row r="7" spans="1:11" s="6" customFormat="1" ht="23.1" customHeight="1" x14ac:dyDescent="0.25">
      <c r="A7" s="125" t="s">
        <v>2</v>
      </c>
      <c r="B7" s="126"/>
      <c r="C7" s="126"/>
      <c r="D7" s="126"/>
      <c r="E7" s="126"/>
      <c r="F7" s="126"/>
      <c r="G7" s="126"/>
      <c r="H7" s="126"/>
      <c r="I7" s="126"/>
      <c r="J7" s="127"/>
      <c r="K7" s="35"/>
    </row>
    <row r="8" spans="1:11" s="6" customFormat="1" ht="23.1" customHeight="1" x14ac:dyDescent="0.25">
      <c r="A8" s="7" t="s">
        <v>3</v>
      </c>
      <c r="B8" s="128" t="s">
        <v>4</v>
      </c>
      <c r="C8" s="129"/>
      <c r="D8" s="129"/>
      <c r="E8" s="129"/>
      <c r="F8" s="129"/>
      <c r="G8" s="130"/>
      <c r="H8" s="131"/>
      <c r="I8" s="132"/>
      <c r="J8" s="133"/>
      <c r="K8" s="35"/>
    </row>
    <row r="9" spans="1:11" s="6" customFormat="1" ht="23.1" customHeight="1" x14ac:dyDescent="0.25">
      <c r="A9" s="7" t="s">
        <v>5</v>
      </c>
      <c r="B9" s="128" t="s">
        <v>6</v>
      </c>
      <c r="C9" s="129"/>
      <c r="D9" s="129"/>
      <c r="E9" s="129"/>
      <c r="F9" s="129"/>
      <c r="G9" s="130"/>
      <c r="H9" s="134" t="s">
        <v>109</v>
      </c>
      <c r="I9" s="132"/>
      <c r="J9" s="133"/>
      <c r="K9" s="35"/>
    </row>
    <row r="10" spans="1:11" s="6" customFormat="1" ht="23.1" customHeight="1" x14ac:dyDescent="0.25">
      <c r="A10" s="7" t="s">
        <v>7</v>
      </c>
      <c r="B10" s="128" t="s">
        <v>8</v>
      </c>
      <c r="C10" s="129"/>
      <c r="D10" s="129"/>
      <c r="E10" s="129"/>
      <c r="F10" s="129"/>
      <c r="G10" s="130"/>
      <c r="H10" s="122" t="s">
        <v>129</v>
      </c>
      <c r="I10" s="150"/>
      <c r="J10" s="151"/>
      <c r="K10" s="35"/>
    </row>
    <row r="11" spans="1:11" s="6" customFormat="1" ht="23.1" customHeight="1" x14ac:dyDescent="0.25">
      <c r="A11" s="7" t="s">
        <v>9</v>
      </c>
      <c r="B11" s="128" t="s">
        <v>10</v>
      </c>
      <c r="C11" s="129"/>
      <c r="D11" s="129"/>
      <c r="E11" s="129"/>
      <c r="F11" s="129"/>
      <c r="G11" s="130"/>
      <c r="H11" s="122">
        <v>12</v>
      </c>
      <c r="I11" s="152"/>
      <c r="J11" s="153"/>
      <c r="K11" s="35"/>
    </row>
    <row r="12" spans="1:11" s="6" customFormat="1" ht="23.1" customHeight="1" x14ac:dyDescent="0.25">
      <c r="A12" s="51"/>
      <c r="B12" s="32"/>
      <c r="C12" s="52"/>
      <c r="D12" s="52"/>
      <c r="E12" s="52"/>
      <c r="F12" s="52"/>
      <c r="G12" s="52"/>
      <c r="H12" s="51"/>
      <c r="I12" s="31"/>
      <c r="J12" s="31"/>
      <c r="K12" s="35"/>
    </row>
    <row r="13" spans="1:11" s="6" customFormat="1" ht="23.1" customHeight="1" x14ac:dyDescent="0.25">
      <c r="A13" s="154" t="s">
        <v>134</v>
      </c>
      <c r="B13" s="155"/>
      <c r="C13" s="155"/>
      <c r="D13" s="155"/>
      <c r="E13" s="155"/>
      <c r="F13" s="155"/>
      <c r="G13" s="155"/>
      <c r="H13" s="155"/>
      <c r="I13" s="155"/>
      <c r="J13" s="156"/>
      <c r="K13" s="35"/>
    </row>
    <row r="14" spans="1:11" s="6" customFormat="1" ht="23.1" customHeight="1" x14ac:dyDescent="0.25">
      <c r="A14" s="157"/>
      <c r="B14" s="158"/>
      <c r="C14" s="158"/>
      <c r="D14" s="158"/>
      <c r="E14" s="158"/>
      <c r="F14" s="158"/>
      <c r="G14" s="158"/>
      <c r="H14" s="158"/>
      <c r="I14" s="158"/>
      <c r="J14" s="159"/>
      <c r="K14" s="35"/>
    </row>
    <row r="15" spans="1:11" s="6" customFormat="1" ht="23.1" customHeight="1" x14ac:dyDescent="0.25">
      <c r="A15" s="142" t="s">
        <v>11</v>
      </c>
      <c r="B15" s="126"/>
      <c r="C15" s="126"/>
      <c r="D15" s="126"/>
      <c r="E15" s="126"/>
      <c r="F15" s="126"/>
      <c r="G15" s="126"/>
      <c r="H15" s="126"/>
      <c r="I15" s="126"/>
      <c r="J15" s="127"/>
      <c r="K15" s="35"/>
    </row>
    <row r="16" spans="1:11" s="6" customFormat="1" ht="23.1" customHeight="1" x14ac:dyDescent="0.25">
      <c r="A16" s="7">
        <v>1</v>
      </c>
      <c r="B16" s="143" t="s">
        <v>12</v>
      </c>
      <c r="C16" s="144"/>
      <c r="D16" s="144"/>
      <c r="E16" s="144"/>
      <c r="F16" s="144"/>
      <c r="G16" s="144"/>
      <c r="H16" s="145"/>
      <c r="I16" s="122" t="str">
        <f>A1</f>
        <v>" M O D E L O "</v>
      </c>
      <c r="J16" s="124"/>
      <c r="K16" s="35"/>
    </row>
    <row r="17" spans="1:11" s="6" customFormat="1" ht="23.1" customHeight="1" x14ac:dyDescent="0.25">
      <c r="A17" s="7">
        <v>2</v>
      </c>
      <c r="B17" s="143" t="s">
        <v>13</v>
      </c>
      <c r="C17" s="144"/>
      <c r="D17" s="144"/>
      <c r="E17" s="144"/>
      <c r="F17" s="144"/>
      <c r="G17" s="144"/>
      <c r="H17" s="145"/>
      <c r="I17" s="146" t="s">
        <v>141</v>
      </c>
      <c r="J17" s="147"/>
      <c r="K17" s="35"/>
    </row>
    <row r="18" spans="1:11" s="6" customFormat="1" ht="23.1" customHeight="1" x14ac:dyDescent="0.25">
      <c r="A18" s="7">
        <v>3</v>
      </c>
      <c r="B18" s="143" t="s">
        <v>14</v>
      </c>
      <c r="C18" s="144"/>
      <c r="D18" s="144"/>
      <c r="E18" s="144"/>
      <c r="F18" s="144"/>
      <c r="G18" s="144"/>
      <c r="H18" s="145"/>
      <c r="I18" s="148">
        <v>1</v>
      </c>
      <c r="J18" s="149"/>
      <c r="K18" s="35"/>
    </row>
    <row r="19" spans="1:11" s="6" customFormat="1" ht="23.1" customHeight="1" x14ac:dyDescent="0.25">
      <c r="A19" s="7">
        <v>4</v>
      </c>
      <c r="B19" s="143" t="s">
        <v>15</v>
      </c>
      <c r="C19" s="144"/>
      <c r="D19" s="144"/>
      <c r="E19" s="144"/>
      <c r="F19" s="144"/>
      <c r="G19" s="144"/>
      <c r="H19" s="145"/>
      <c r="I19" s="146" t="str">
        <f>I16</f>
        <v>" M O D E L O "</v>
      </c>
      <c r="J19" s="147"/>
      <c r="K19" s="35"/>
    </row>
    <row r="20" spans="1:11" s="6" customFormat="1" ht="23.1" customHeight="1" x14ac:dyDescent="0.25">
      <c r="A20" s="7">
        <v>5</v>
      </c>
      <c r="B20" s="143" t="s">
        <v>16</v>
      </c>
      <c r="C20" s="144"/>
      <c r="D20" s="144"/>
      <c r="E20" s="144"/>
      <c r="F20" s="144"/>
      <c r="G20" s="144"/>
      <c r="H20" s="145"/>
      <c r="I20" s="131">
        <v>44562</v>
      </c>
      <c r="J20" s="166"/>
      <c r="K20" s="35"/>
    </row>
    <row r="21" spans="1:11" s="6" customFormat="1" ht="23.1" customHeight="1" x14ac:dyDescent="0.25">
      <c r="A21" s="7">
        <v>6</v>
      </c>
      <c r="B21" s="128" t="s">
        <v>130</v>
      </c>
      <c r="C21" s="129"/>
      <c r="D21" s="129"/>
      <c r="E21" s="129"/>
      <c r="F21" s="129"/>
      <c r="G21" s="129"/>
      <c r="H21" s="130"/>
      <c r="I21" s="148">
        <v>1212</v>
      </c>
      <c r="J21" s="149"/>
      <c r="K21" s="35"/>
    </row>
    <row r="22" spans="1:11" s="6" customFormat="1" ht="23.1" customHeight="1" x14ac:dyDescent="0.25">
      <c r="A22" s="7">
        <v>7</v>
      </c>
      <c r="B22" s="128" t="s">
        <v>131</v>
      </c>
      <c r="C22" s="129"/>
      <c r="D22" s="129"/>
      <c r="E22" s="129"/>
      <c r="F22" s="129"/>
      <c r="G22" s="129"/>
      <c r="H22" s="130"/>
      <c r="I22" s="160">
        <v>44</v>
      </c>
      <c r="J22" s="161"/>
      <c r="K22" s="35"/>
    </row>
    <row r="23" spans="1:11" s="6" customFormat="1" ht="23.1" customHeight="1" x14ac:dyDescent="0.25">
      <c r="A23" s="162"/>
      <c r="B23" s="129"/>
      <c r="C23" s="129"/>
      <c r="D23" s="129"/>
      <c r="E23" s="129"/>
      <c r="F23" s="129"/>
      <c r="G23" s="129"/>
      <c r="H23" s="129"/>
      <c r="I23" s="129"/>
      <c r="J23" s="129"/>
      <c r="K23" s="35"/>
    </row>
    <row r="24" spans="1:11" s="6" customFormat="1" ht="23.1" customHeight="1" x14ac:dyDescent="0.25">
      <c r="A24" s="128" t="s">
        <v>17</v>
      </c>
      <c r="B24" s="129"/>
      <c r="C24" s="129"/>
      <c r="D24" s="129"/>
      <c r="E24" s="129"/>
      <c r="F24" s="129"/>
      <c r="G24" s="129"/>
      <c r="H24" s="129"/>
      <c r="I24" s="129"/>
      <c r="J24" s="130"/>
      <c r="K24" s="35"/>
    </row>
    <row r="25" spans="1:11" s="6" customFormat="1" ht="23.1" customHeight="1" x14ac:dyDescent="0.25">
      <c r="A25" s="36">
        <v>1</v>
      </c>
      <c r="B25" s="142" t="s">
        <v>18</v>
      </c>
      <c r="C25" s="163"/>
      <c r="D25" s="163"/>
      <c r="E25" s="163"/>
      <c r="F25" s="163"/>
      <c r="G25" s="163"/>
      <c r="H25" s="164"/>
      <c r="I25" s="36" t="s">
        <v>29</v>
      </c>
      <c r="J25" s="36" t="s">
        <v>23</v>
      </c>
      <c r="K25" s="35"/>
    </row>
    <row r="26" spans="1:11" s="6" customFormat="1" ht="23.1" customHeight="1" x14ac:dyDescent="0.25">
      <c r="A26" s="7" t="s">
        <v>3</v>
      </c>
      <c r="B26" s="119" t="s">
        <v>126</v>
      </c>
      <c r="C26" s="165"/>
      <c r="D26" s="165"/>
      <c r="E26" s="165"/>
      <c r="F26" s="165"/>
      <c r="G26" s="165"/>
      <c r="H26" s="33"/>
      <c r="I26" s="29"/>
      <c r="J26" s="8">
        <f>IF((ROUND(I18/44*I22,2))&gt;I21,(ROUND(I18/44*I22,2)),I21)</f>
        <v>1212</v>
      </c>
      <c r="K26" s="35"/>
    </row>
    <row r="27" spans="1:11" s="6" customFormat="1" ht="23.1" customHeight="1" x14ac:dyDescent="0.25">
      <c r="A27" s="7" t="s">
        <v>5</v>
      </c>
      <c r="B27" s="128" t="s">
        <v>137</v>
      </c>
      <c r="C27" s="129"/>
      <c r="D27" s="129"/>
      <c r="E27" s="129"/>
      <c r="F27" s="129"/>
      <c r="G27" s="129"/>
      <c r="H27" s="130"/>
      <c r="I27" s="46">
        <v>0.3</v>
      </c>
      <c r="J27" s="9">
        <f>ROUND(I27*J26,2)</f>
        <v>363.6</v>
      </c>
      <c r="K27" s="35"/>
    </row>
    <row r="28" spans="1:11" s="6" customFormat="1" ht="23.1" customHeight="1" x14ac:dyDescent="0.25">
      <c r="A28" s="7" t="s">
        <v>7</v>
      </c>
      <c r="B28" s="128" t="s">
        <v>138</v>
      </c>
      <c r="C28" s="129"/>
      <c r="D28" s="129"/>
      <c r="E28" s="129"/>
      <c r="F28" s="129"/>
      <c r="G28" s="129"/>
      <c r="H28" s="130"/>
      <c r="I28" s="46">
        <v>0.2</v>
      </c>
      <c r="J28" s="9">
        <f>ROUND(I28*I21,2)</f>
        <v>242.4</v>
      </c>
      <c r="K28" s="35"/>
    </row>
    <row r="29" spans="1:11" s="6" customFormat="1" ht="23.1" customHeight="1" x14ac:dyDescent="0.25">
      <c r="A29" s="7" t="s">
        <v>7</v>
      </c>
      <c r="B29" s="128" t="s">
        <v>128</v>
      </c>
      <c r="C29" s="129"/>
      <c r="D29" s="129"/>
      <c r="E29" s="129"/>
      <c r="F29" s="129"/>
      <c r="G29" s="129"/>
      <c r="H29" s="130"/>
      <c r="I29" s="46">
        <v>0.2</v>
      </c>
      <c r="J29" s="9">
        <f>ROUND(I29*J26,2)</f>
        <v>242.4</v>
      </c>
      <c r="K29" s="35"/>
    </row>
    <row r="30" spans="1:11" s="6" customFormat="1" ht="23.1" customHeight="1" x14ac:dyDescent="0.25">
      <c r="A30" s="7" t="s">
        <v>9</v>
      </c>
      <c r="B30" s="128" t="s">
        <v>146</v>
      </c>
      <c r="C30" s="129"/>
      <c r="D30" s="129"/>
      <c r="E30" s="129"/>
      <c r="F30" s="129"/>
      <c r="G30" s="129"/>
      <c r="H30" s="130"/>
      <c r="I30" s="56"/>
      <c r="J30" s="9">
        <f>ROUND(I18/220*0.2*I30,2)</f>
        <v>0</v>
      </c>
      <c r="K30" s="35"/>
    </row>
    <row r="31" spans="1:11" s="6" customFormat="1" ht="23.1" customHeight="1" x14ac:dyDescent="0.25">
      <c r="A31" s="7" t="s">
        <v>36</v>
      </c>
      <c r="B31" s="128" t="s">
        <v>147</v>
      </c>
      <c r="C31" s="129"/>
      <c r="D31" s="129"/>
      <c r="E31" s="129"/>
      <c r="F31" s="129"/>
      <c r="G31" s="129"/>
      <c r="H31" s="130"/>
      <c r="I31" s="56"/>
      <c r="J31" s="9">
        <f>ROUND((I18/220*1.2*1.5)*(I31*(60-52.5)/60),2)</f>
        <v>0</v>
      </c>
      <c r="K31" s="35"/>
    </row>
    <row r="32" spans="1:11" s="6" customFormat="1" ht="23.1" customHeight="1" x14ac:dyDescent="0.25">
      <c r="A32" s="7" t="s">
        <v>38</v>
      </c>
      <c r="B32" s="128" t="s">
        <v>145</v>
      </c>
      <c r="C32" s="129"/>
      <c r="D32" s="129"/>
      <c r="E32" s="129"/>
      <c r="F32" s="129"/>
      <c r="G32" s="129"/>
      <c r="H32" s="130"/>
      <c r="I32" s="9"/>
      <c r="J32" s="9">
        <f>ROUND((J31+J30)*0.2,2)</f>
        <v>0</v>
      </c>
      <c r="K32" s="35"/>
    </row>
    <row r="33" spans="1:11" s="6" customFormat="1" ht="23.1" customHeight="1" x14ac:dyDescent="0.25">
      <c r="A33" s="7" t="s">
        <v>40</v>
      </c>
      <c r="B33" s="128" t="s">
        <v>127</v>
      </c>
      <c r="C33" s="129"/>
      <c r="D33" s="129"/>
      <c r="E33" s="129"/>
      <c r="F33" s="129"/>
      <c r="G33" s="129"/>
      <c r="H33" s="130"/>
      <c r="I33" s="9"/>
      <c r="J33" s="9"/>
      <c r="K33" s="35"/>
    </row>
    <row r="34" spans="1:11" s="6" customFormat="1" ht="23.1" customHeight="1" x14ac:dyDescent="0.25">
      <c r="A34" s="171" t="s">
        <v>19</v>
      </c>
      <c r="B34" s="126"/>
      <c r="C34" s="126"/>
      <c r="D34" s="126"/>
      <c r="E34" s="126"/>
      <c r="F34" s="126"/>
      <c r="G34" s="126"/>
      <c r="H34" s="126"/>
      <c r="I34" s="127"/>
      <c r="J34" s="37">
        <f>SUM(J26:J33)</f>
        <v>2060.4</v>
      </c>
      <c r="K34" s="35"/>
    </row>
    <row r="35" spans="1:11" s="6" customFormat="1" ht="23.1" customHeight="1" x14ac:dyDescent="0.25">
      <c r="A35" s="162"/>
      <c r="B35" s="129"/>
      <c r="C35" s="129"/>
      <c r="D35" s="129"/>
      <c r="E35" s="129"/>
      <c r="F35" s="129"/>
      <c r="G35" s="129"/>
      <c r="H35" s="129"/>
      <c r="I35" s="129"/>
      <c r="J35" s="129"/>
      <c r="K35" s="35"/>
    </row>
    <row r="36" spans="1:11" s="6" customFormat="1" ht="23.1" customHeight="1" x14ac:dyDescent="0.25">
      <c r="A36" s="128" t="s">
        <v>20</v>
      </c>
      <c r="B36" s="129"/>
      <c r="C36" s="129"/>
      <c r="D36" s="129"/>
      <c r="E36" s="129"/>
      <c r="F36" s="129"/>
      <c r="G36" s="129"/>
      <c r="H36" s="129"/>
      <c r="I36" s="129"/>
      <c r="J36" s="130"/>
      <c r="K36" s="35"/>
    </row>
    <row r="37" spans="1:11" s="6" customFormat="1" ht="23.1" customHeight="1" x14ac:dyDescent="0.25">
      <c r="A37" s="167" t="s">
        <v>21</v>
      </c>
      <c r="B37" s="126"/>
      <c r="C37" s="126"/>
      <c r="D37" s="126"/>
      <c r="E37" s="126"/>
      <c r="F37" s="126"/>
      <c r="G37" s="126"/>
      <c r="H37" s="126"/>
      <c r="I37" s="126"/>
      <c r="J37" s="127"/>
      <c r="K37" s="35"/>
    </row>
    <row r="38" spans="1:11" s="6" customFormat="1" ht="38.25" customHeight="1" x14ac:dyDescent="0.25">
      <c r="A38" s="10" t="s">
        <v>22</v>
      </c>
      <c r="B38" s="168" t="s">
        <v>111</v>
      </c>
      <c r="C38" s="129"/>
      <c r="D38" s="129"/>
      <c r="E38" s="129"/>
      <c r="F38" s="129"/>
      <c r="G38" s="129"/>
      <c r="H38" s="129"/>
      <c r="I38" s="130"/>
      <c r="J38" s="7" t="s">
        <v>23</v>
      </c>
      <c r="K38" s="35"/>
    </row>
    <row r="39" spans="1:11" s="6" customFormat="1" ht="38.25" customHeight="1" x14ac:dyDescent="0.25">
      <c r="A39" s="10" t="s">
        <v>3</v>
      </c>
      <c r="B39" s="128" t="s">
        <v>112</v>
      </c>
      <c r="C39" s="129"/>
      <c r="D39" s="129"/>
      <c r="E39" s="129"/>
      <c r="F39" s="129"/>
      <c r="G39" s="129"/>
      <c r="H39" s="130"/>
      <c r="I39" s="11">
        <v>8.3299999999999999E-2</v>
      </c>
      <c r="J39" s="12">
        <f t="shared" ref="J39:J40" si="0">ROUND($J$34*I39,2)</f>
        <v>171.63</v>
      </c>
      <c r="K39" s="35"/>
    </row>
    <row r="40" spans="1:11" s="6" customFormat="1" ht="38.25" customHeight="1" x14ac:dyDescent="0.25">
      <c r="A40" s="10" t="s">
        <v>5</v>
      </c>
      <c r="B40" s="169" t="s">
        <v>113</v>
      </c>
      <c r="C40" s="129"/>
      <c r="D40" s="129"/>
      <c r="E40" s="129"/>
      <c r="F40" s="129"/>
      <c r="G40" s="129"/>
      <c r="H40" s="130"/>
      <c r="I40" s="13">
        <v>3.0249999999999999E-2</v>
      </c>
      <c r="J40" s="12">
        <f t="shared" si="0"/>
        <v>62.33</v>
      </c>
      <c r="K40" s="35"/>
    </row>
    <row r="41" spans="1:11" s="6" customFormat="1" ht="23.1" customHeight="1" x14ac:dyDescent="0.25">
      <c r="A41" s="170" t="s">
        <v>24</v>
      </c>
      <c r="B41" s="129"/>
      <c r="C41" s="129"/>
      <c r="D41" s="129"/>
      <c r="E41" s="129"/>
      <c r="F41" s="129"/>
      <c r="G41" s="129"/>
      <c r="H41" s="129"/>
      <c r="I41" s="130"/>
      <c r="J41" s="12">
        <f>SUM(J39+J40)</f>
        <v>233.95999999999998</v>
      </c>
      <c r="K41" s="35"/>
    </row>
    <row r="42" spans="1:11" s="6" customFormat="1" ht="23.1" customHeight="1" x14ac:dyDescent="0.25">
      <c r="A42" s="10" t="s">
        <v>7</v>
      </c>
      <c r="B42" s="168" t="s">
        <v>25</v>
      </c>
      <c r="C42" s="129"/>
      <c r="D42" s="129"/>
      <c r="E42" s="129"/>
      <c r="F42" s="129"/>
      <c r="G42" s="129"/>
      <c r="H42" s="129"/>
      <c r="I42" s="130"/>
      <c r="J42" s="9">
        <f>ROUND(I55*J41,2)</f>
        <v>86.1</v>
      </c>
      <c r="K42" s="35"/>
    </row>
    <row r="43" spans="1:11" s="6" customFormat="1" ht="23.1" customHeight="1" x14ac:dyDescent="0.25">
      <c r="A43" s="172" t="s">
        <v>24</v>
      </c>
      <c r="B43" s="126"/>
      <c r="C43" s="126"/>
      <c r="D43" s="126"/>
      <c r="E43" s="126"/>
      <c r="F43" s="126"/>
      <c r="G43" s="126"/>
      <c r="H43" s="126"/>
      <c r="I43" s="127"/>
      <c r="J43" s="37">
        <f>J41+J42</f>
        <v>320.05999999999995</v>
      </c>
      <c r="K43" s="35"/>
    </row>
    <row r="44" spans="1:11" s="6" customFormat="1" ht="23.1" customHeight="1" x14ac:dyDescent="0.25">
      <c r="A44" s="162"/>
      <c r="B44" s="129"/>
      <c r="C44" s="129"/>
      <c r="D44" s="129"/>
      <c r="E44" s="129"/>
      <c r="F44" s="129"/>
      <c r="G44" s="129"/>
      <c r="H44" s="129"/>
      <c r="I44" s="129"/>
      <c r="J44" s="129"/>
      <c r="K44" s="35"/>
    </row>
    <row r="45" spans="1:11" s="6" customFormat="1" ht="23.1" customHeight="1" x14ac:dyDescent="0.25">
      <c r="A45" s="128" t="s">
        <v>26</v>
      </c>
      <c r="B45" s="129"/>
      <c r="C45" s="129"/>
      <c r="D45" s="129"/>
      <c r="E45" s="129"/>
      <c r="F45" s="129"/>
      <c r="G45" s="129"/>
      <c r="H45" s="129"/>
      <c r="I45" s="129"/>
      <c r="J45" s="130"/>
      <c r="K45" s="35"/>
    </row>
    <row r="46" spans="1:11" s="6" customFormat="1" ht="23.1" customHeight="1" x14ac:dyDescent="0.25">
      <c r="A46" s="38" t="s">
        <v>27</v>
      </c>
      <c r="B46" s="173" t="s">
        <v>28</v>
      </c>
      <c r="C46" s="126"/>
      <c r="D46" s="126"/>
      <c r="E46" s="126"/>
      <c r="F46" s="126"/>
      <c r="G46" s="126"/>
      <c r="H46" s="127"/>
      <c r="I46" s="36" t="s">
        <v>29</v>
      </c>
      <c r="J46" s="36" t="s">
        <v>23</v>
      </c>
      <c r="K46" s="35"/>
    </row>
    <row r="47" spans="1:11" s="6" customFormat="1" ht="23.1" customHeight="1" x14ac:dyDescent="0.25">
      <c r="A47" s="10" t="s">
        <v>3</v>
      </c>
      <c r="B47" s="168" t="s">
        <v>30</v>
      </c>
      <c r="C47" s="129"/>
      <c r="D47" s="129"/>
      <c r="E47" s="129"/>
      <c r="F47" s="129"/>
      <c r="G47" s="129"/>
      <c r="H47" s="130"/>
      <c r="I47" s="14">
        <v>0.2</v>
      </c>
      <c r="J47" s="9">
        <f t="shared" ref="J47:J54" si="1">ROUND($J$34*I47,2)</f>
        <v>412.08</v>
      </c>
      <c r="K47" s="35"/>
    </row>
    <row r="48" spans="1:11" s="6" customFormat="1" ht="23.1" customHeight="1" x14ac:dyDescent="0.25">
      <c r="A48" s="10" t="s">
        <v>5</v>
      </c>
      <c r="B48" s="168" t="s">
        <v>31</v>
      </c>
      <c r="C48" s="129"/>
      <c r="D48" s="129"/>
      <c r="E48" s="129"/>
      <c r="F48" s="129"/>
      <c r="G48" s="129"/>
      <c r="H48" s="130"/>
      <c r="I48" s="14">
        <v>2.5000000000000001E-2</v>
      </c>
      <c r="J48" s="9">
        <f t="shared" si="1"/>
        <v>51.51</v>
      </c>
      <c r="K48" s="35"/>
    </row>
    <row r="49" spans="1:11" s="6" customFormat="1" ht="23.1" customHeight="1" x14ac:dyDescent="0.25">
      <c r="A49" s="10" t="s">
        <v>7</v>
      </c>
      <c r="B49" s="168" t="s">
        <v>32</v>
      </c>
      <c r="C49" s="129"/>
      <c r="D49" s="130"/>
      <c r="E49" s="15" t="s">
        <v>33</v>
      </c>
      <c r="F49" s="41">
        <v>0.03</v>
      </c>
      <c r="G49" s="15" t="s">
        <v>34</v>
      </c>
      <c r="H49" s="42">
        <v>1</v>
      </c>
      <c r="I49" s="16">
        <f>F49*H49</f>
        <v>0.03</v>
      </c>
      <c r="J49" s="9">
        <f>ROUND($J$34*I49,2)</f>
        <v>61.81</v>
      </c>
      <c r="K49" s="35"/>
    </row>
    <row r="50" spans="1:11" s="6" customFormat="1" ht="23.1" customHeight="1" x14ac:dyDescent="0.25">
      <c r="A50" s="10" t="s">
        <v>9</v>
      </c>
      <c r="B50" s="168" t="s">
        <v>35</v>
      </c>
      <c r="C50" s="129"/>
      <c r="D50" s="129"/>
      <c r="E50" s="129"/>
      <c r="F50" s="129"/>
      <c r="G50" s="129"/>
      <c r="H50" s="130"/>
      <c r="I50" s="14">
        <v>1.4999999999999999E-2</v>
      </c>
      <c r="J50" s="9">
        <f t="shared" si="1"/>
        <v>30.91</v>
      </c>
      <c r="K50" s="35"/>
    </row>
    <row r="51" spans="1:11" s="6" customFormat="1" ht="23.1" customHeight="1" x14ac:dyDescent="0.25">
      <c r="A51" s="10" t="s">
        <v>36</v>
      </c>
      <c r="B51" s="168" t="s">
        <v>37</v>
      </c>
      <c r="C51" s="129"/>
      <c r="D51" s="129"/>
      <c r="E51" s="129"/>
      <c r="F51" s="129"/>
      <c r="G51" s="129"/>
      <c r="H51" s="130"/>
      <c r="I51" s="14">
        <v>0.01</v>
      </c>
      <c r="J51" s="9">
        <f t="shared" si="1"/>
        <v>20.6</v>
      </c>
      <c r="K51" s="35"/>
    </row>
    <row r="52" spans="1:11" s="6" customFormat="1" ht="23.1" customHeight="1" x14ac:dyDescent="0.25">
      <c r="A52" s="10" t="s">
        <v>38</v>
      </c>
      <c r="B52" s="168" t="s">
        <v>39</v>
      </c>
      <c r="C52" s="129"/>
      <c r="D52" s="129"/>
      <c r="E52" s="129"/>
      <c r="F52" s="129"/>
      <c r="G52" s="129"/>
      <c r="H52" s="130"/>
      <c r="I52" s="14">
        <v>6.0000000000000001E-3</v>
      </c>
      <c r="J52" s="9">
        <f t="shared" si="1"/>
        <v>12.36</v>
      </c>
      <c r="K52" s="35"/>
    </row>
    <row r="53" spans="1:11" s="6" customFormat="1" ht="23.1" customHeight="1" x14ac:dyDescent="0.25">
      <c r="A53" s="10" t="s">
        <v>40</v>
      </c>
      <c r="B53" s="168" t="s">
        <v>41</v>
      </c>
      <c r="C53" s="129"/>
      <c r="D53" s="129"/>
      <c r="E53" s="129"/>
      <c r="F53" s="129"/>
      <c r="G53" s="129"/>
      <c r="H53" s="130"/>
      <c r="I53" s="14">
        <v>2E-3</v>
      </c>
      <c r="J53" s="9">
        <f t="shared" si="1"/>
        <v>4.12</v>
      </c>
      <c r="K53" s="35"/>
    </row>
    <row r="54" spans="1:11" s="6" customFormat="1" ht="23.1" customHeight="1" x14ac:dyDescent="0.25">
      <c r="A54" s="10" t="s">
        <v>42</v>
      </c>
      <c r="B54" s="168" t="s">
        <v>43</v>
      </c>
      <c r="C54" s="129"/>
      <c r="D54" s="129"/>
      <c r="E54" s="129"/>
      <c r="F54" s="129"/>
      <c r="G54" s="129"/>
      <c r="H54" s="130"/>
      <c r="I54" s="14">
        <v>0.08</v>
      </c>
      <c r="J54" s="9">
        <f t="shared" si="1"/>
        <v>164.83</v>
      </c>
      <c r="K54" s="35"/>
    </row>
    <row r="55" spans="1:11" s="6" customFormat="1" ht="23.1" customHeight="1" x14ac:dyDescent="0.25">
      <c r="A55" s="172" t="s">
        <v>24</v>
      </c>
      <c r="B55" s="126"/>
      <c r="C55" s="126"/>
      <c r="D55" s="126"/>
      <c r="E55" s="126"/>
      <c r="F55" s="126"/>
      <c r="G55" s="126"/>
      <c r="H55" s="127"/>
      <c r="I55" s="39">
        <f t="shared" ref="I55:J55" si="2">SUM(I47:I54)</f>
        <v>0.36800000000000005</v>
      </c>
      <c r="J55" s="37">
        <f t="shared" si="2"/>
        <v>758.22</v>
      </c>
      <c r="K55" s="35"/>
    </row>
    <row r="56" spans="1:11" s="6" customFormat="1" ht="23.1" customHeight="1" x14ac:dyDescent="0.25">
      <c r="A56" s="162"/>
      <c r="B56" s="129"/>
      <c r="C56" s="129"/>
      <c r="D56" s="129"/>
      <c r="E56" s="129"/>
      <c r="F56" s="129"/>
      <c r="G56" s="129"/>
      <c r="H56" s="129"/>
      <c r="I56" s="129"/>
      <c r="J56" s="129"/>
      <c r="K56" s="35"/>
    </row>
    <row r="57" spans="1:11" s="6" customFormat="1" ht="23.1" customHeight="1" x14ac:dyDescent="0.25">
      <c r="A57" s="128" t="s">
        <v>44</v>
      </c>
      <c r="B57" s="129"/>
      <c r="C57" s="129"/>
      <c r="D57" s="129"/>
      <c r="E57" s="129"/>
      <c r="F57" s="129"/>
      <c r="G57" s="129"/>
      <c r="H57" s="129"/>
      <c r="I57" s="129"/>
      <c r="J57" s="130"/>
      <c r="K57" s="35"/>
    </row>
    <row r="58" spans="1:11" s="6" customFormat="1" ht="23.1" customHeight="1" x14ac:dyDescent="0.25">
      <c r="A58" s="38" t="s">
        <v>45</v>
      </c>
      <c r="B58" s="173" t="s">
        <v>46</v>
      </c>
      <c r="C58" s="126"/>
      <c r="D58" s="126"/>
      <c r="E58" s="126"/>
      <c r="F58" s="126"/>
      <c r="G58" s="126"/>
      <c r="H58" s="126"/>
      <c r="I58" s="127"/>
      <c r="J58" s="36" t="s">
        <v>23</v>
      </c>
      <c r="K58" s="35"/>
    </row>
    <row r="59" spans="1:11" s="6" customFormat="1" ht="23.1" customHeight="1" x14ac:dyDescent="0.25">
      <c r="A59" s="10" t="s">
        <v>3</v>
      </c>
      <c r="B59" s="168" t="s">
        <v>136</v>
      </c>
      <c r="C59" s="129"/>
      <c r="D59" s="129"/>
      <c r="E59" s="129"/>
      <c r="F59" s="129"/>
      <c r="G59" s="129"/>
      <c r="H59" s="129"/>
      <c r="I59" s="130"/>
      <c r="J59" s="9">
        <f>IF(ROUND((I62*I60*I61)-(J26*0.06),2)&lt;0,0,ROUND((I62*I60*I61)-(J26*0.06),2))*1+(I60*I61*21.726-0.06*J26)*0</f>
        <v>169.28</v>
      </c>
      <c r="K59" s="35"/>
    </row>
    <row r="60" spans="1:11" s="6" customFormat="1" ht="23.1" customHeight="1" x14ac:dyDescent="0.25">
      <c r="A60" s="10"/>
      <c r="B60" s="174" t="s">
        <v>132</v>
      </c>
      <c r="C60" s="129"/>
      <c r="D60" s="129"/>
      <c r="E60" s="129"/>
      <c r="F60" s="129"/>
      <c r="G60" s="129"/>
      <c r="H60" s="130"/>
      <c r="I60" s="55">
        <v>5.5</v>
      </c>
      <c r="J60" s="17"/>
      <c r="K60" s="35"/>
    </row>
    <row r="61" spans="1:11" s="6" customFormat="1" ht="23.1" customHeight="1" x14ac:dyDescent="0.25">
      <c r="A61" s="10"/>
      <c r="B61" s="175" t="s">
        <v>48</v>
      </c>
      <c r="C61" s="129"/>
      <c r="D61" s="129"/>
      <c r="E61" s="129"/>
      <c r="F61" s="129"/>
      <c r="G61" s="129"/>
      <c r="H61" s="130"/>
      <c r="I61" s="56">
        <v>2</v>
      </c>
      <c r="J61" s="17"/>
      <c r="K61" s="35"/>
    </row>
    <row r="62" spans="1:11" s="6" customFormat="1" ht="23.1" customHeight="1" x14ac:dyDescent="0.25">
      <c r="A62" s="10"/>
      <c r="B62" s="175" t="s">
        <v>49</v>
      </c>
      <c r="C62" s="129"/>
      <c r="D62" s="129"/>
      <c r="E62" s="129"/>
      <c r="F62" s="129"/>
      <c r="G62" s="129"/>
      <c r="H62" s="130"/>
      <c r="I62" s="56">
        <v>22</v>
      </c>
      <c r="J62" s="17"/>
      <c r="K62" s="35"/>
    </row>
    <row r="63" spans="1:11" s="6" customFormat="1" ht="23.1" customHeight="1" x14ac:dyDescent="0.25">
      <c r="A63" s="10" t="s">
        <v>5</v>
      </c>
      <c r="B63" s="168" t="s">
        <v>135</v>
      </c>
      <c r="C63" s="129"/>
      <c r="D63" s="129"/>
      <c r="E63" s="129"/>
      <c r="F63" s="129"/>
      <c r="G63" s="129"/>
      <c r="H63" s="129"/>
      <c r="I63" s="130"/>
      <c r="J63" s="9">
        <f>ROUND(I65*I64*(1-I66),2)</f>
        <v>359.61</v>
      </c>
      <c r="K63" s="35"/>
    </row>
    <row r="64" spans="1:11" s="6" customFormat="1" ht="23.1" customHeight="1" x14ac:dyDescent="0.25">
      <c r="A64" s="10"/>
      <c r="B64" s="175" t="s">
        <v>50</v>
      </c>
      <c r="C64" s="129"/>
      <c r="D64" s="129"/>
      <c r="E64" s="129"/>
      <c r="F64" s="129"/>
      <c r="G64" s="129"/>
      <c r="H64" s="130"/>
      <c r="I64" s="55">
        <v>20.18</v>
      </c>
      <c r="J64" s="17"/>
      <c r="K64" s="35"/>
    </row>
    <row r="65" spans="1:12" s="6" customFormat="1" ht="23.1" customHeight="1" x14ac:dyDescent="0.25">
      <c r="A65" s="18"/>
      <c r="B65" s="175" t="s">
        <v>51</v>
      </c>
      <c r="C65" s="129"/>
      <c r="D65" s="129"/>
      <c r="E65" s="129"/>
      <c r="F65" s="129"/>
      <c r="G65" s="129"/>
      <c r="H65" s="130"/>
      <c r="I65" s="56">
        <v>22</v>
      </c>
      <c r="J65" s="17"/>
      <c r="K65" s="35"/>
    </row>
    <row r="66" spans="1:12" s="6" customFormat="1" ht="23.1" customHeight="1" x14ac:dyDescent="0.25">
      <c r="A66" s="18"/>
      <c r="B66" s="175" t="s">
        <v>139</v>
      </c>
      <c r="C66" s="129"/>
      <c r="D66" s="129"/>
      <c r="E66" s="129"/>
      <c r="F66" s="129"/>
      <c r="G66" s="129"/>
      <c r="H66" s="130"/>
      <c r="I66" s="57">
        <v>0.19</v>
      </c>
      <c r="J66" s="17"/>
      <c r="K66" s="35"/>
    </row>
    <row r="67" spans="1:12" s="6" customFormat="1" ht="23.1" customHeight="1" x14ac:dyDescent="0.25">
      <c r="A67" s="10" t="s">
        <v>7</v>
      </c>
      <c r="B67" s="128" t="s">
        <v>52</v>
      </c>
      <c r="C67" s="129"/>
      <c r="D67" s="129"/>
      <c r="E67" s="129"/>
      <c r="F67" s="129"/>
      <c r="G67" s="129"/>
      <c r="H67" s="129"/>
      <c r="I67" s="130"/>
      <c r="J67" s="43">
        <v>2.5</v>
      </c>
      <c r="K67" s="35"/>
    </row>
    <row r="68" spans="1:12" s="6" customFormat="1" ht="23.1" customHeight="1" x14ac:dyDescent="0.25">
      <c r="A68" s="10" t="s">
        <v>9</v>
      </c>
      <c r="B68" s="128" t="s">
        <v>53</v>
      </c>
      <c r="C68" s="129"/>
      <c r="D68" s="129"/>
      <c r="E68" s="129"/>
      <c r="F68" s="129"/>
      <c r="G68" s="129"/>
      <c r="H68" s="129"/>
      <c r="I68" s="130"/>
      <c r="J68" s="30">
        <v>17.32</v>
      </c>
      <c r="K68" s="35"/>
    </row>
    <row r="69" spans="1:12" s="6" customFormat="1" ht="23.1" customHeight="1" x14ac:dyDescent="0.25">
      <c r="A69" s="172" t="s">
        <v>19</v>
      </c>
      <c r="B69" s="126"/>
      <c r="C69" s="126"/>
      <c r="D69" s="126"/>
      <c r="E69" s="126"/>
      <c r="F69" s="126"/>
      <c r="G69" s="126"/>
      <c r="H69" s="126"/>
      <c r="I69" s="127"/>
      <c r="J69" s="37">
        <f>SUM(J59:J68)</f>
        <v>548.71</v>
      </c>
      <c r="K69" s="35"/>
    </row>
    <row r="70" spans="1:12" s="6" customFormat="1" ht="23.1" customHeight="1" x14ac:dyDescent="0.25">
      <c r="A70" s="162"/>
      <c r="B70" s="129"/>
      <c r="C70" s="129"/>
      <c r="D70" s="129"/>
      <c r="E70" s="129"/>
      <c r="F70" s="129"/>
      <c r="G70" s="129"/>
      <c r="H70" s="129"/>
      <c r="I70" s="129"/>
      <c r="J70" s="129"/>
      <c r="K70" s="35"/>
    </row>
    <row r="71" spans="1:12" s="6" customFormat="1" ht="23.1" customHeight="1" x14ac:dyDescent="0.25">
      <c r="A71" s="128" t="s">
        <v>54</v>
      </c>
      <c r="B71" s="129"/>
      <c r="C71" s="129"/>
      <c r="D71" s="129"/>
      <c r="E71" s="129"/>
      <c r="F71" s="129"/>
      <c r="G71" s="129"/>
      <c r="H71" s="129"/>
      <c r="I71" s="129"/>
      <c r="J71" s="130"/>
      <c r="K71" s="35"/>
    </row>
    <row r="72" spans="1:12" s="6" customFormat="1" ht="23.1" customHeight="1" x14ac:dyDescent="0.25">
      <c r="A72" s="36">
        <v>2</v>
      </c>
      <c r="B72" s="142" t="s">
        <v>55</v>
      </c>
      <c r="C72" s="126"/>
      <c r="D72" s="126"/>
      <c r="E72" s="126"/>
      <c r="F72" s="126"/>
      <c r="G72" s="126"/>
      <c r="H72" s="126"/>
      <c r="I72" s="127"/>
      <c r="J72" s="36" t="s">
        <v>23</v>
      </c>
      <c r="K72" s="35"/>
    </row>
    <row r="73" spans="1:12" s="6" customFormat="1" ht="23.1" customHeight="1" x14ac:dyDescent="0.25">
      <c r="A73" s="7" t="s">
        <v>22</v>
      </c>
      <c r="B73" s="119" t="s">
        <v>110</v>
      </c>
      <c r="C73" s="165"/>
      <c r="D73" s="165"/>
      <c r="E73" s="165"/>
      <c r="F73" s="165"/>
      <c r="G73" s="165"/>
      <c r="H73" s="165"/>
      <c r="I73" s="121"/>
      <c r="J73" s="8">
        <f>J43</f>
        <v>320.05999999999995</v>
      </c>
      <c r="K73" s="35"/>
    </row>
    <row r="74" spans="1:12" s="6" customFormat="1" ht="23.1" customHeight="1" x14ac:dyDescent="0.25">
      <c r="A74" s="7" t="s">
        <v>27</v>
      </c>
      <c r="B74" s="119" t="s">
        <v>28</v>
      </c>
      <c r="C74" s="165"/>
      <c r="D74" s="165"/>
      <c r="E74" s="165"/>
      <c r="F74" s="165"/>
      <c r="G74" s="165"/>
      <c r="H74" s="165"/>
      <c r="I74" s="121"/>
      <c r="J74" s="8">
        <f>J55</f>
        <v>758.22</v>
      </c>
      <c r="K74" s="35"/>
    </row>
    <row r="75" spans="1:12" s="6" customFormat="1" ht="23.1" customHeight="1" x14ac:dyDescent="0.25">
      <c r="A75" s="7" t="s">
        <v>45</v>
      </c>
      <c r="B75" s="119" t="s">
        <v>46</v>
      </c>
      <c r="C75" s="165"/>
      <c r="D75" s="165"/>
      <c r="E75" s="165"/>
      <c r="F75" s="165"/>
      <c r="G75" s="165"/>
      <c r="H75" s="165"/>
      <c r="I75" s="121"/>
      <c r="J75" s="8">
        <f>J69</f>
        <v>548.71</v>
      </c>
      <c r="K75" s="35"/>
    </row>
    <row r="76" spans="1:12" s="6" customFormat="1" ht="23.1" customHeight="1" x14ac:dyDescent="0.25">
      <c r="A76" s="171" t="s">
        <v>24</v>
      </c>
      <c r="B76" s="126"/>
      <c r="C76" s="126"/>
      <c r="D76" s="126"/>
      <c r="E76" s="126"/>
      <c r="F76" s="126"/>
      <c r="G76" s="126"/>
      <c r="H76" s="126"/>
      <c r="I76" s="127"/>
      <c r="J76" s="40">
        <f>SUM(J73+J74+J75)</f>
        <v>1626.99</v>
      </c>
      <c r="K76" s="35"/>
    </row>
    <row r="77" spans="1:12" s="6" customFormat="1" ht="23.1" customHeight="1" x14ac:dyDescent="0.25">
      <c r="A77" s="162"/>
      <c r="B77" s="129"/>
      <c r="C77" s="129"/>
      <c r="D77" s="129"/>
      <c r="E77" s="129"/>
      <c r="F77" s="129"/>
      <c r="G77" s="129"/>
      <c r="H77" s="129"/>
      <c r="I77" s="129"/>
      <c r="J77" s="129"/>
      <c r="K77" s="35"/>
    </row>
    <row r="78" spans="1:12" s="6" customFormat="1" ht="23.1" customHeight="1" x14ac:dyDescent="0.25">
      <c r="A78" s="128" t="s">
        <v>56</v>
      </c>
      <c r="B78" s="129"/>
      <c r="C78" s="129"/>
      <c r="D78" s="129"/>
      <c r="E78" s="129"/>
      <c r="F78" s="129"/>
      <c r="G78" s="129"/>
      <c r="H78" s="129"/>
      <c r="I78" s="129"/>
      <c r="J78" s="130"/>
      <c r="K78" s="35"/>
    </row>
    <row r="79" spans="1:12" s="6" customFormat="1" ht="23.1" customHeight="1" x14ac:dyDescent="0.25">
      <c r="A79" s="38">
        <v>3</v>
      </c>
      <c r="B79" s="142" t="s">
        <v>57</v>
      </c>
      <c r="C79" s="126"/>
      <c r="D79" s="126"/>
      <c r="E79" s="126"/>
      <c r="F79" s="126"/>
      <c r="G79" s="126"/>
      <c r="H79" s="126"/>
      <c r="I79" s="127"/>
      <c r="J79" s="36" t="s">
        <v>23</v>
      </c>
      <c r="K79" s="35"/>
    </row>
    <row r="80" spans="1:12" s="6" customFormat="1" ht="60" customHeight="1" x14ac:dyDescent="0.25">
      <c r="A80" s="10" t="s">
        <v>3</v>
      </c>
      <c r="B80" s="128" t="s">
        <v>114</v>
      </c>
      <c r="C80" s="129"/>
      <c r="D80" s="129"/>
      <c r="E80" s="129"/>
      <c r="F80" s="129"/>
      <c r="G80" s="129"/>
      <c r="H80" s="129"/>
      <c r="I80" s="130"/>
      <c r="J80" s="9">
        <f>ROUND((($J$34/12)+($J$39/12)+($J$34/12/12)+($J$40/12))*(30/30)*0.05,2)</f>
        <v>10.28</v>
      </c>
      <c r="K80" s="35"/>
      <c r="L80" s="19"/>
    </row>
    <row r="81" spans="1:12" s="6" customFormat="1" ht="22.5" customHeight="1" x14ac:dyDescent="0.25">
      <c r="A81" s="10" t="s">
        <v>5</v>
      </c>
      <c r="B81" s="128" t="s">
        <v>58</v>
      </c>
      <c r="C81" s="129"/>
      <c r="D81" s="129"/>
      <c r="E81" s="129"/>
      <c r="F81" s="129"/>
      <c r="G81" s="129"/>
      <c r="H81" s="129"/>
      <c r="I81" s="130"/>
      <c r="J81" s="9">
        <f>ROUND($J$80*I54,2)</f>
        <v>0.82</v>
      </c>
      <c r="K81" s="35"/>
    </row>
    <row r="82" spans="1:12" s="6" customFormat="1" ht="60" customHeight="1" x14ac:dyDescent="0.25">
      <c r="A82" s="10" t="s">
        <v>7</v>
      </c>
      <c r="B82" s="128" t="s">
        <v>115</v>
      </c>
      <c r="C82" s="129"/>
      <c r="D82" s="129"/>
      <c r="E82" s="129"/>
      <c r="F82" s="129"/>
      <c r="G82" s="129"/>
      <c r="H82" s="130"/>
      <c r="I82" s="20">
        <v>1.9E-3</v>
      </c>
      <c r="J82" s="9">
        <f>ROUND($J$34*I82,2)</f>
        <v>3.91</v>
      </c>
      <c r="K82" s="35"/>
    </row>
    <row r="83" spans="1:12" s="6" customFormat="1" ht="60" customHeight="1" x14ac:dyDescent="0.25">
      <c r="A83" s="10" t="s">
        <v>9</v>
      </c>
      <c r="B83" s="128" t="s">
        <v>116</v>
      </c>
      <c r="C83" s="129"/>
      <c r="D83" s="129"/>
      <c r="E83" s="129"/>
      <c r="F83" s="129"/>
      <c r="G83" s="129"/>
      <c r="H83" s="129"/>
      <c r="I83" s="130"/>
      <c r="J83" s="9">
        <f>ROUND(((($J$34/30)*7)/$H$11)*0.1,2)</f>
        <v>4.01</v>
      </c>
      <c r="K83" s="35"/>
      <c r="L83" s="19"/>
    </row>
    <row r="84" spans="1:12" s="6" customFormat="1" ht="22.5" customHeight="1" x14ac:dyDescent="0.25">
      <c r="A84" s="10" t="s">
        <v>36</v>
      </c>
      <c r="B84" s="128" t="s">
        <v>59</v>
      </c>
      <c r="C84" s="129"/>
      <c r="D84" s="129"/>
      <c r="E84" s="129"/>
      <c r="F84" s="129"/>
      <c r="G84" s="129"/>
      <c r="H84" s="129"/>
      <c r="I84" s="130"/>
      <c r="J84" s="9">
        <f>ROUND($I$55*J83,2)</f>
        <v>1.48</v>
      </c>
      <c r="K84" s="35"/>
    </row>
    <row r="85" spans="1:12" s="6" customFormat="1" ht="60" customHeight="1" x14ac:dyDescent="0.25">
      <c r="A85" s="10" t="s">
        <v>38</v>
      </c>
      <c r="B85" s="128" t="s">
        <v>117</v>
      </c>
      <c r="C85" s="129"/>
      <c r="D85" s="129"/>
      <c r="E85" s="129"/>
      <c r="F85" s="129"/>
      <c r="G85" s="129"/>
      <c r="H85" s="130"/>
      <c r="I85" s="20">
        <v>3.8100000000000002E-2</v>
      </c>
      <c r="J85" s="9">
        <f>ROUND($J$34*I85,2)</f>
        <v>78.5</v>
      </c>
      <c r="K85" s="35"/>
    </row>
    <row r="86" spans="1:12" s="6" customFormat="1" ht="23.1" customHeight="1" x14ac:dyDescent="0.25">
      <c r="A86" s="172" t="s">
        <v>24</v>
      </c>
      <c r="B86" s="126"/>
      <c r="C86" s="126"/>
      <c r="D86" s="126"/>
      <c r="E86" s="126"/>
      <c r="F86" s="126"/>
      <c r="G86" s="126"/>
      <c r="H86" s="126"/>
      <c r="I86" s="127"/>
      <c r="J86" s="37">
        <f>SUM(J80:J85)</f>
        <v>99</v>
      </c>
      <c r="K86" s="35"/>
    </row>
    <row r="87" spans="1:12" s="6" customFormat="1" ht="23.1" customHeight="1" x14ac:dyDescent="0.25">
      <c r="A87" s="162"/>
      <c r="B87" s="129"/>
      <c r="C87" s="129"/>
      <c r="D87" s="129"/>
      <c r="E87" s="129"/>
      <c r="F87" s="129"/>
      <c r="G87" s="129"/>
      <c r="H87" s="129"/>
      <c r="I87" s="129"/>
      <c r="J87" s="129"/>
      <c r="K87" s="35"/>
    </row>
    <row r="88" spans="1:12" s="6" customFormat="1" ht="23.1" customHeight="1" x14ac:dyDescent="0.25">
      <c r="A88" s="128" t="s">
        <v>60</v>
      </c>
      <c r="B88" s="129"/>
      <c r="C88" s="129"/>
      <c r="D88" s="129"/>
      <c r="E88" s="129"/>
      <c r="F88" s="129"/>
      <c r="G88" s="129"/>
      <c r="H88" s="129"/>
      <c r="I88" s="129"/>
      <c r="J88" s="130"/>
      <c r="K88" s="35"/>
    </row>
    <row r="89" spans="1:12" s="6" customFormat="1" ht="23.1" customHeight="1" x14ac:dyDescent="0.25">
      <c r="A89" s="176" t="s">
        <v>61</v>
      </c>
      <c r="B89" s="129"/>
      <c r="C89" s="129"/>
      <c r="D89" s="129"/>
      <c r="E89" s="129"/>
      <c r="F89" s="129"/>
      <c r="G89" s="129"/>
      <c r="H89" s="129"/>
      <c r="I89" s="130"/>
      <c r="J89" s="8">
        <f>J92+J34+J39+J40</f>
        <v>2481.34</v>
      </c>
      <c r="K89" s="35"/>
    </row>
    <row r="90" spans="1:12" s="6" customFormat="1" ht="23.1" customHeight="1" x14ac:dyDescent="0.25">
      <c r="A90" s="157"/>
      <c r="B90" s="158"/>
      <c r="C90" s="158"/>
      <c r="D90" s="158"/>
      <c r="E90" s="158"/>
      <c r="F90" s="158"/>
      <c r="G90" s="158"/>
      <c r="H90" s="158"/>
      <c r="I90" s="158"/>
      <c r="J90" s="159"/>
      <c r="K90" s="35"/>
    </row>
    <row r="91" spans="1:12" s="6" customFormat="1" ht="23.1" customHeight="1" x14ac:dyDescent="0.25">
      <c r="A91" s="38" t="s">
        <v>62</v>
      </c>
      <c r="B91" s="173" t="s">
        <v>63</v>
      </c>
      <c r="C91" s="126"/>
      <c r="D91" s="126"/>
      <c r="E91" s="126"/>
      <c r="F91" s="126"/>
      <c r="G91" s="126"/>
      <c r="H91" s="126"/>
      <c r="I91" s="127"/>
      <c r="J91" s="36" t="s">
        <v>23</v>
      </c>
      <c r="K91" s="35"/>
    </row>
    <row r="92" spans="1:12" s="6" customFormat="1" ht="23.1" customHeight="1" x14ac:dyDescent="0.25">
      <c r="A92" s="10" t="s">
        <v>3</v>
      </c>
      <c r="B92" s="128" t="s">
        <v>64</v>
      </c>
      <c r="C92" s="129"/>
      <c r="D92" s="129"/>
      <c r="E92" s="129"/>
      <c r="F92" s="129"/>
      <c r="G92" s="129"/>
      <c r="H92" s="130"/>
      <c r="I92" s="13">
        <v>9.0749999999999997E-2</v>
      </c>
      <c r="J92" s="9">
        <f>ROUND(($J$34*I92),2)</f>
        <v>186.98</v>
      </c>
      <c r="K92" s="35"/>
    </row>
    <row r="93" spans="1:12" s="6" customFormat="1" ht="23.1" customHeight="1" x14ac:dyDescent="0.25">
      <c r="A93" s="10" t="s">
        <v>5</v>
      </c>
      <c r="B93" s="168" t="s">
        <v>118</v>
      </c>
      <c r="C93" s="129"/>
      <c r="D93" s="129"/>
      <c r="E93" s="129"/>
      <c r="F93" s="129"/>
      <c r="G93" s="129"/>
      <c r="H93" s="129"/>
      <c r="I93" s="130"/>
      <c r="J93" s="9">
        <f>ROUND((($J$89/30)*2.96)/12,2)</f>
        <v>20.399999999999999</v>
      </c>
      <c r="K93" s="35"/>
    </row>
    <row r="94" spans="1:12" s="6" customFormat="1" ht="23.1" customHeight="1" x14ac:dyDescent="0.25">
      <c r="A94" s="10" t="s">
        <v>7</v>
      </c>
      <c r="B94" s="168" t="s">
        <v>119</v>
      </c>
      <c r="C94" s="129"/>
      <c r="D94" s="129"/>
      <c r="E94" s="129"/>
      <c r="F94" s="129"/>
      <c r="G94" s="129"/>
      <c r="H94" s="129"/>
      <c r="I94" s="130"/>
      <c r="J94" s="9">
        <f>ROUND((($J$89/30)*5)/12*0.015,2)</f>
        <v>0.52</v>
      </c>
      <c r="K94" s="35"/>
    </row>
    <row r="95" spans="1:12" s="6" customFormat="1" ht="23.1" customHeight="1" x14ac:dyDescent="0.25">
      <c r="A95" s="10" t="s">
        <v>9</v>
      </c>
      <c r="B95" s="168" t="s">
        <v>120</v>
      </c>
      <c r="C95" s="129"/>
      <c r="D95" s="129"/>
      <c r="E95" s="129"/>
      <c r="F95" s="129"/>
      <c r="G95" s="129"/>
      <c r="H95" s="129"/>
      <c r="I95" s="130"/>
      <c r="J95" s="9">
        <f>ROUND(((($J$89/30)*15)/12)*0.0078,2)</f>
        <v>0.81</v>
      </c>
      <c r="K95" s="35"/>
    </row>
    <row r="96" spans="1:12" s="6" customFormat="1" ht="23.1" customHeight="1" x14ac:dyDescent="0.25">
      <c r="A96" s="10" t="s">
        <v>36</v>
      </c>
      <c r="B96" s="168" t="s">
        <v>121</v>
      </c>
      <c r="C96" s="129"/>
      <c r="D96" s="129"/>
      <c r="E96" s="129"/>
      <c r="F96" s="129"/>
      <c r="G96" s="129"/>
      <c r="H96" s="129"/>
      <c r="I96" s="130"/>
      <c r="J96" s="9">
        <f>ROUND(((($J$34+$J$34/3)*4/12)/12)*0.02,2)</f>
        <v>1.53</v>
      </c>
      <c r="K96" s="35"/>
    </row>
    <row r="97" spans="1:11" s="6" customFormat="1" ht="23.1" customHeight="1" x14ac:dyDescent="0.25">
      <c r="A97" s="21" t="s">
        <v>38</v>
      </c>
      <c r="B97" s="177" t="s">
        <v>122</v>
      </c>
      <c r="C97" s="129"/>
      <c r="D97" s="129"/>
      <c r="E97" s="129"/>
      <c r="F97" s="129"/>
      <c r="G97" s="129"/>
      <c r="H97" s="129"/>
      <c r="I97" s="130"/>
      <c r="J97" s="9">
        <f>ROUND(((($J$89/30)*5)/12),2)</f>
        <v>34.46</v>
      </c>
      <c r="K97" s="35"/>
    </row>
    <row r="98" spans="1:11" s="6" customFormat="1" ht="23.1" customHeight="1" x14ac:dyDescent="0.25">
      <c r="A98" s="172" t="s">
        <v>24</v>
      </c>
      <c r="B98" s="126"/>
      <c r="C98" s="126"/>
      <c r="D98" s="126"/>
      <c r="E98" s="126"/>
      <c r="F98" s="126"/>
      <c r="G98" s="126"/>
      <c r="H98" s="126"/>
      <c r="I98" s="127"/>
      <c r="J98" s="37">
        <f>SUM(J92:J97)</f>
        <v>244.70000000000002</v>
      </c>
      <c r="K98" s="35"/>
    </row>
    <row r="99" spans="1:11" s="6" customFormat="1" ht="23.1" customHeight="1" x14ac:dyDescent="0.25">
      <c r="A99" s="10" t="s">
        <v>40</v>
      </c>
      <c r="B99" s="168" t="s">
        <v>65</v>
      </c>
      <c r="C99" s="129"/>
      <c r="D99" s="129"/>
      <c r="E99" s="129"/>
      <c r="F99" s="129"/>
      <c r="G99" s="129"/>
      <c r="H99" s="129"/>
      <c r="I99" s="130"/>
      <c r="J99" s="9">
        <f>ROUND(I55*J98,2)</f>
        <v>90.05</v>
      </c>
      <c r="K99" s="35"/>
    </row>
    <row r="100" spans="1:11" s="6" customFormat="1" ht="23.1" customHeight="1" x14ac:dyDescent="0.25">
      <c r="A100" s="172" t="s">
        <v>24</v>
      </c>
      <c r="B100" s="126"/>
      <c r="C100" s="126"/>
      <c r="D100" s="126"/>
      <c r="E100" s="126"/>
      <c r="F100" s="126"/>
      <c r="G100" s="126"/>
      <c r="H100" s="126"/>
      <c r="I100" s="127"/>
      <c r="J100" s="37">
        <f>SUM(J98:J99)</f>
        <v>334.75</v>
      </c>
      <c r="K100" s="35"/>
    </row>
    <row r="101" spans="1:11" s="6" customFormat="1" ht="23.1" customHeight="1" x14ac:dyDescent="0.25">
      <c r="A101" s="128" t="s">
        <v>66</v>
      </c>
      <c r="B101" s="129"/>
      <c r="C101" s="129"/>
      <c r="D101" s="129"/>
      <c r="E101" s="129"/>
      <c r="F101" s="129"/>
      <c r="G101" s="129"/>
      <c r="H101" s="129"/>
      <c r="I101" s="129"/>
      <c r="J101" s="130"/>
      <c r="K101" s="35"/>
    </row>
    <row r="102" spans="1:11" s="6" customFormat="1" ht="23.1" customHeight="1" x14ac:dyDescent="0.25">
      <c r="A102" s="38" t="s">
        <v>67</v>
      </c>
      <c r="B102" s="173" t="s">
        <v>68</v>
      </c>
      <c r="C102" s="126"/>
      <c r="D102" s="126"/>
      <c r="E102" s="126"/>
      <c r="F102" s="126"/>
      <c r="G102" s="126"/>
      <c r="H102" s="126"/>
      <c r="I102" s="127"/>
      <c r="J102" s="36" t="s">
        <v>23</v>
      </c>
      <c r="K102" s="35"/>
    </row>
    <row r="103" spans="1:11" s="6" customFormat="1" ht="23.1" customHeight="1" x14ac:dyDescent="0.25">
      <c r="A103" s="10" t="s">
        <v>3</v>
      </c>
      <c r="B103" s="168" t="s">
        <v>69</v>
      </c>
      <c r="C103" s="129"/>
      <c r="D103" s="129"/>
      <c r="E103" s="129"/>
      <c r="F103" s="129"/>
      <c r="G103" s="129"/>
      <c r="H103" s="129"/>
      <c r="I103" s="130"/>
      <c r="J103" s="9">
        <v>0</v>
      </c>
      <c r="K103" s="35"/>
    </row>
    <row r="104" spans="1:11" s="6" customFormat="1" ht="23.1" customHeight="1" x14ac:dyDescent="0.25">
      <c r="A104" s="178" t="s">
        <v>24</v>
      </c>
      <c r="B104" s="129"/>
      <c r="C104" s="129"/>
      <c r="D104" s="129"/>
      <c r="E104" s="129"/>
      <c r="F104" s="129"/>
      <c r="G104" s="129"/>
      <c r="H104" s="129"/>
      <c r="I104" s="130"/>
      <c r="J104" s="9">
        <v>0</v>
      </c>
      <c r="K104" s="35"/>
    </row>
    <row r="105" spans="1:11" s="6" customFormat="1" ht="23.1" customHeight="1" x14ac:dyDescent="0.25">
      <c r="A105" s="10" t="s">
        <v>5</v>
      </c>
      <c r="B105" s="168" t="s">
        <v>70</v>
      </c>
      <c r="C105" s="129"/>
      <c r="D105" s="129"/>
      <c r="E105" s="129"/>
      <c r="F105" s="129"/>
      <c r="G105" s="129"/>
      <c r="H105" s="129"/>
      <c r="I105" s="130"/>
      <c r="J105" s="9">
        <f>ROUND(I55*J104,2)</f>
        <v>0</v>
      </c>
      <c r="K105" s="35"/>
    </row>
    <row r="106" spans="1:11" s="6" customFormat="1" ht="23.1" customHeight="1" x14ac:dyDescent="0.25">
      <c r="A106" s="172" t="s">
        <v>24</v>
      </c>
      <c r="B106" s="126"/>
      <c r="C106" s="126"/>
      <c r="D106" s="126"/>
      <c r="E106" s="126"/>
      <c r="F106" s="126"/>
      <c r="G106" s="126"/>
      <c r="H106" s="126"/>
      <c r="I106" s="127"/>
      <c r="J106" s="37">
        <f>SUM(J104:J105)</f>
        <v>0</v>
      </c>
      <c r="K106" s="35"/>
    </row>
    <row r="107" spans="1:11" s="6" customFormat="1" ht="23.1" customHeight="1" x14ac:dyDescent="0.25">
      <c r="A107" s="162"/>
      <c r="B107" s="129"/>
      <c r="C107" s="129"/>
      <c r="D107" s="129"/>
      <c r="E107" s="129"/>
      <c r="F107" s="129"/>
      <c r="G107" s="129"/>
      <c r="H107" s="129"/>
      <c r="I107" s="129"/>
      <c r="J107" s="129"/>
      <c r="K107" s="35"/>
    </row>
    <row r="108" spans="1:11" s="6" customFormat="1" ht="23.1" customHeight="1" x14ac:dyDescent="0.25">
      <c r="A108" s="128" t="s">
        <v>71</v>
      </c>
      <c r="B108" s="129"/>
      <c r="C108" s="129"/>
      <c r="D108" s="129"/>
      <c r="E108" s="129"/>
      <c r="F108" s="129"/>
      <c r="G108" s="129"/>
      <c r="H108" s="129"/>
      <c r="I108" s="129"/>
      <c r="J108" s="130"/>
      <c r="K108" s="35"/>
    </row>
    <row r="109" spans="1:11" s="6" customFormat="1" ht="23.1" customHeight="1" x14ac:dyDescent="0.25">
      <c r="A109" s="36">
        <v>4</v>
      </c>
      <c r="B109" s="142" t="s">
        <v>72</v>
      </c>
      <c r="C109" s="126"/>
      <c r="D109" s="126"/>
      <c r="E109" s="126"/>
      <c r="F109" s="126"/>
      <c r="G109" s="126"/>
      <c r="H109" s="126"/>
      <c r="I109" s="127"/>
      <c r="J109" s="36" t="s">
        <v>23</v>
      </c>
      <c r="K109" s="35"/>
    </row>
    <row r="110" spans="1:11" s="6" customFormat="1" ht="23.1" customHeight="1" x14ac:dyDescent="0.25">
      <c r="A110" s="7" t="s">
        <v>62</v>
      </c>
      <c r="B110" s="128" t="s">
        <v>63</v>
      </c>
      <c r="C110" s="129"/>
      <c r="D110" s="129"/>
      <c r="E110" s="129"/>
      <c r="F110" s="129"/>
      <c r="G110" s="129"/>
      <c r="H110" s="129"/>
      <c r="I110" s="130"/>
      <c r="J110" s="9">
        <f>J100</f>
        <v>334.75</v>
      </c>
      <c r="K110" s="35"/>
    </row>
    <row r="111" spans="1:11" s="6" customFormat="1" ht="23.1" customHeight="1" x14ac:dyDescent="0.25">
      <c r="A111" s="7" t="s">
        <v>73</v>
      </c>
      <c r="B111" s="128" t="s">
        <v>68</v>
      </c>
      <c r="C111" s="129"/>
      <c r="D111" s="129"/>
      <c r="E111" s="129"/>
      <c r="F111" s="129"/>
      <c r="G111" s="129"/>
      <c r="H111" s="129"/>
      <c r="I111" s="130"/>
      <c r="J111" s="9">
        <f>J106</f>
        <v>0</v>
      </c>
      <c r="K111" s="35"/>
    </row>
    <row r="112" spans="1:11" s="6" customFormat="1" ht="23.1" customHeight="1" x14ac:dyDescent="0.25">
      <c r="A112" s="171" t="s">
        <v>24</v>
      </c>
      <c r="B112" s="126"/>
      <c r="C112" s="126"/>
      <c r="D112" s="126"/>
      <c r="E112" s="126"/>
      <c r="F112" s="126"/>
      <c r="G112" s="126"/>
      <c r="H112" s="126"/>
      <c r="I112" s="127"/>
      <c r="J112" s="37">
        <f>SUM(J110+J111)</f>
        <v>334.75</v>
      </c>
      <c r="K112" s="35"/>
    </row>
    <row r="113" spans="1:23" s="6" customFormat="1" ht="23.1" customHeight="1" x14ac:dyDescent="0.25">
      <c r="A113" s="162"/>
      <c r="B113" s="129"/>
      <c r="C113" s="129"/>
      <c r="D113" s="129"/>
      <c r="E113" s="129"/>
      <c r="F113" s="129"/>
      <c r="G113" s="129"/>
      <c r="H113" s="129"/>
      <c r="I113" s="129"/>
      <c r="J113" s="129"/>
      <c r="K113" s="35"/>
    </row>
    <row r="114" spans="1:23" s="6" customFormat="1" ht="23.1" customHeight="1" x14ac:dyDescent="0.25">
      <c r="A114" s="128" t="s">
        <v>74</v>
      </c>
      <c r="B114" s="129"/>
      <c r="C114" s="129"/>
      <c r="D114" s="129"/>
      <c r="E114" s="129"/>
      <c r="F114" s="129"/>
      <c r="G114" s="129"/>
      <c r="H114" s="129"/>
      <c r="I114" s="129"/>
      <c r="J114" s="130"/>
      <c r="K114" s="35"/>
    </row>
    <row r="115" spans="1:23" s="6" customFormat="1" ht="23.1" customHeight="1" x14ac:dyDescent="0.25">
      <c r="A115" s="38">
        <v>5</v>
      </c>
      <c r="B115" s="173" t="s">
        <v>75</v>
      </c>
      <c r="C115" s="126"/>
      <c r="D115" s="126"/>
      <c r="E115" s="126"/>
      <c r="F115" s="126"/>
      <c r="G115" s="126"/>
      <c r="H115" s="126"/>
      <c r="I115" s="127"/>
      <c r="J115" s="36" t="s">
        <v>23</v>
      </c>
      <c r="K115" s="35"/>
    </row>
    <row r="116" spans="1:23" s="6" customFormat="1" ht="23.1" customHeight="1" x14ac:dyDescent="0.25">
      <c r="A116" s="10" t="s">
        <v>3</v>
      </c>
      <c r="B116" s="168" t="s">
        <v>76</v>
      </c>
      <c r="C116" s="129"/>
      <c r="D116" s="129"/>
      <c r="E116" s="129"/>
      <c r="F116" s="129"/>
      <c r="G116" s="129"/>
      <c r="H116" s="129"/>
      <c r="I116" s="130"/>
      <c r="J116" s="53">
        <v>0</v>
      </c>
      <c r="K116" s="35"/>
    </row>
    <row r="117" spans="1:23" s="6" customFormat="1" ht="23.1" customHeight="1" x14ac:dyDescent="0.25">
      <c r="A117" s="10" t="s">
        <v>5</v>
      </c>
      <c r="B117" s="168" t="s">
        <v>77</v>
      </c>
      <c r="C117" s="129"/>
      <c r="D117" s="129"/>
      <c r="E117" s="129"/>
      <c r="F117" s="129"/>
      <c r="G117" s="129"/>
      <c r="H117" s="129"/>
      <c r="I117" s="130"/>
      <c r="J117" s="54">
        <v>0</v>
      </c>
      <c r="K117" s="35"/>
    </row>
    <row r="118" spans="1:23" s="6" customFormat="1" ht="23.1" customHeight="1" x14ac:dyDescent="0.25">
      <c r="A118" s="10" t="s">
        <v>7</v>
      </c>
      <c r="B118" s="168" t="s">
        <v>78</v>
      </c>
      <c r="C118" s="129"/>
      <c r="D118" s="129"/>
      <c r="E118" s="129"/>
      <c r="F118" s="129"/>
      <c r="G118" s="129"/>
      <c r="H118" s="129"/>
      <c r="I118" s="130"/>
      <c r="J118" s="54">
        <v>0</v>
      </c>
      <c r="K118" s="35"/>
    </row>
    <row r="119" spans="1:23" s="6" customFormat="1" ht="23.1" customHeight="1" x14ac:dyDescent="0.25">
      <c r="A119" s="10" t="s">
        <v>9</v>
      </c>
      <c r="B119" s="168" t="s">
        <v>127</v>
      </c>
      <c r="C119" s="129"/>
      <c r="D119" s="129"/>
      <c r="E119" s="129"/>
      <c r="F119" s="129"/>
      <c r="G119" s="129"/>
      <c r="H119" s="129"/>
      <c r="I119" s="130"/>
      <c r="J119" s="54" t="s">
        <v>79</v>
      </c>
      <c r="K119" s="35"/>
    </row>
    <row r="120" spans="1:23" s="6" customFormat="1" ht="23.1" customHeight="1" x14ac:dyDescent="0.25">
      <c r="A120" s="172" t="s">
        <v>19</v>
      </c>
      <c r="B120" s="126"/>
      <c r="C120" s="126"/>
      <c r="D120" s="126"/>
      <c r="E120" s="126"/>
      <c r="F120" s="126"/>
      <c r="G120" s="126"/>
      <c r="H120" s="126"/>
      <c r="I120" s="127"/>
      <c r="J120" s="40">
        <f>SUM(J116:J119)</f>
        <v>0</v>
      </c>
      <c r="K120" s="35"/>
    </row>
    <row r="121" spans="1:23" s="6" customFormat="1" ht="23.1" customHeight="1" x14ac:dyDescent="0.25">
      <c r="A121" s="162"/>
      <c r="B121" s="129"/>
      <c r="C121" s="129"/>
      <c r="D121" s="129"/>
      <c r="E121" s="129"/>
      <c r="F121" s="129"/>
      <c r="G121" s="129"/>
      <c r="H121" s="129"/>
      <c r="I121" s="129"/>
      <c r="J121" s="129"/>
      <c r="K121" s="35"/>
    </row>
    <row r="122" spans="1:23" s="6" customFormat="1" ht="23.1" customHeight="1" x14ac:dyDescent="0.25">
      <c r="A122" s="128" t="s">
        <v>80</v>
      </c>
      <c r="B122" s="129"/>
      <c r="C122" s="129"/>
      <c r="D122" s="129"/>
      <c r="E122" s="129"/>
      <c r="F122" s="129"/>
      <c r="G122" s="129"/>
      <c r="H122" s="129"/>
      <c r="I122" s="129"/>
      <c r="J122" s="130"/>
      <c r="K122" s="35"/>
      <c r="R122" s="1"/>
      <c r="S122" s="1"/>
      <c r="T122" s="1"/>
      <c r="U122" s="1"/>
      <c r="V122" s="1"/>
    </row>
    <row r="123" spans="1:23" s="6" customFormat="1" ht="23.1" customHeight="1" x14ac:dyDescent="0.25">
      <c r="A123" s="38">
        <v>6</v>
      </c>
      <c r="B123" s="173" t="s">
        <v>81</v>
      </c>
      <c r="C123" s="126"/>
      <c r="D123" s="126"/>
      <c r="E123" s="126"/>
      <c r="F123" s="126"/>
      <c r="G123" s="126"/>
      <c r="H123" s="127"/>
      <c r="I123" s="36" t="s">
        <v>29</v>
      </c>
      <c r="J123" s="36" t="s">
        <v>23</v>
      </c>
      <c r="K123" s="35"/>
      <c r="R123" s="1"/>
      <c r="S123" s="1"/>
      <c r="T123" s="1"/>
      <c r="U123" s="1"/>
      <c r="V123" s="1"/>
    </row>
    <row r="124" spans="1:23" s="6" customFormat="1" ht="23.1" customHeight="1" x14ac:dyDescent="0.25">
      <c r="A124" s="174" t="s">
        <v>82</v>
      </c>
      <c r="B124" s="129"/>
      <c r="C124" s="129"/>
      <c r="D124" s="129"/>
      <c r="E124" s="129"/>
      <c r="F124" s="129"/>
      <c r="G124" s="129"/>
      <c r="H124" s="130"/>
      <c r="I124" s="22" t="s">
        <v>47</v>
      </c>
      <c r="J124" s="23">
        <f>SUM(J34+J76+J86+J112+J120)</f>
        <v>4121.1400000000003</v>
      </c>
      <c r="K124" s="35"/>
      <c r="R124" s="2"/>
      <c r="S124" s="3"/>
      <c r="T124" s="3"/>
      <c r="U124" s="3"/>
      <c r="V124" s="1"/>
    </row>
    <row r="125" spans="1:23" s="6" customFormat="1" ht="23.1" customHeight="1" x14ac:dyDescent="0.25">
      <c r="A125" s="10" t="s">
        <v>3</v>
      </c>
      <c r="B125" s="168" t="s">
        <v>83</v>
      </c>
      <c r="C125" s="129"/>
      <c r="D125" s="129"/>
      <c r="E125" s="129"/>
      <c r="F125" s="129"/>
      <c r="G125" s="129"/>
      <c r="H125" s="130"/>
      <c r="I125" s="48">
        <v>0.05</v>
      </c>
      <c r="J125" s="9">
        <f>ROUND(I125*J124,2)</f>
        <v>206.06</v>
      </c>
      <c r="K125" s="35"/>
      <c r="N125" s="19"/>
      <c r="R125" s="4"/>
      <c r="S125" s="3"/>
      <c r="T125" s="3"/>
      <c r="U125" s="3"/>
      <c r="V125" s="1"/>
    </row>
    <row r="126" spans="1:23" s="6" customFormat="1" ht="23.1" customHeight="1" x14ac:dyDescent="0.25">
      <c r="A126" s="174" t="s">
        <v>84</v>
      </c>
      <c r="B126" s="129"/>
      <c r="C126" s="129"/>
      <c r="D126" s="129"/>
      <c r="E126" s="129"/>
      <c r="F126" s="129"/>
      <c r="G126" s="129"/>
      <c r="H126" s="130"/>
      <c r="I126" s="24" t="s">
        <v>47</v>
      </c>
      <c r="J126" s="23">
        <f>SUM(J34+J76+J86+J112+J120+J125)</f>
        <v>4327.2000000000007</v>
      </c>
      <c r="K126" s="35"/>
      <c r="N126" s="19"/>
      <c r="R126" s="2"/>
      <c r="S126" s="3"/>
      <c r="T126" s="3"/>
      <c r="U126" s="3"/>
      <c r="V126" s="3"/>
      <c r="W126" s="25"/>
    </row>
    <row r="127" spans="1:23" s="6" customFormat="1" ht="23.1" customHeight="1" x14ac:dyDescent="0.25">
      <c r="A127" s="10" t="s">
        <v>5</v>
      </c>
      <c r="B127" s="168" t="s">
        <v>85</v>
      </c>
      <c r="C127" s="129"/>
      <c r="D127" s="129"/>
      <c r="E127" s="129"/>
      <c r="F127" s="129"/>
      <c r="G127" s="129"/>
      <c r="H127" s="130"/>
      <c r="I127" s="47">
        <v>6.7900000000000002E-2</v>
      </c>
      <c r="J127" s="9">
        <f>ROUND(I127*J126,2)</f>
        <v>293.82</v>
      </c>
      <c r="K127" s="35"/>
      <c r="R127" s="2"/>
      <c r="S127" s="3"/>
      <c r="T127" s="3"/>
      <c r="U127" s="3"/>
      <c r="V127" s="3"/>
      <c r="W127" s="25"/>
    </row>
    <row r="128" spans="1:23" s="6" customFormat="1" ht="23.1" customHeight="1" x14ac:dyDescent="0.25">
      <c r="A128" s="174" t="s">
        <v>86</v>
      </c>
      <c r="B128" s="129"/>
      <c r="C128" s="129"/>
      <c r="D128" s="129"/>
      <c r="E128" s="129"/>
      <c r="F128" s="129"/>
      <c r="G128" s="129"/>
      <c r="H128" s="130"/>
      <c r="I128" s="24" t="s">
        <v>47</v>
      </c>
      <c r="J128" s="23">
        <f>SUM(J34+J76+J86+J112+J120+J125+J127)</f>
        <v>4621.0200000000004</v>
      </c>
      <c r="K128" s="35"/>
      <c r="R128" s="2"/>
      <c r="S128" s="3"/>
      <c r="T128" s="3"/>
      <c r="U128" s="3"/>
      <c r="V128" s="3"/>
      <c r="W128" s="25"/>
    </row>
    <row r="129" spans="1:23" s="6" customFormat="1" ht="23.1" customHeight="1" x14ac:dyDescent="0.25">
      <c r="A129" s="10" t="s">
        <v>7</v>
      </c>
      <c r="B129" s="168" t="s">
        <v>87</v>
      </c>
      <c r="C129" s="129"/>
      <c r="D129" s="129"/>
      <c r="E129" s="129"/>
      <c r="F129" s="129"/>
      <c r="G129" s="129"/>
      <c r="H129" s="130"/>
      <c r="I129" s="11" t="s">
        <v>47</v>
      </c>
      <c r="J129" s="17" t="s">
        <v>47</v>
      </c>
      <c r="K129" s="35"/>
      <c r="R129" s="2"/>
      <c r="S129" s="3"/>
      <c r="T129" s="3"/>
      <c r="U129" s="3"/>
      <c r="V129" s="3"/>
      <c r="W129" s="25"/>
    </row>
    <row r="130" spans="1:23" s="6" customFormat="1" ht="23.1" customHeight="1" x14ac:dyDescent="0.25">
      <c r="A130" s="10"/>
      <c r="B130" s="168" t="s">
        <v>88</v>
      </c>
      <c r="C130" s="129"/>
      <c r="D130" s="129"/>
      <c r="E130" s="129"/>
      <c r="F130" s="129"/>
      <c r="G130" s="129"/>
      <c r="H130" s="130"/>
      <c r="I130" s="11" t="s">
        <v>47</v>
      </c>
      <c r="J130" s="17" t="s">
        <v>47</v>
      </c>
      <c r="K130" s="35"/>
      <c r="R130" s="2"/>
      <c r="S130" s="3"/>
      <c r="T130" s="3"/>
      <c r="U130" s="3"/>
      <c r="V130" s="3"/>
      <c r="W130" s="25"/>
    </row>
    <row r="131" spans="1:23" s="6" customFormat="1" ht="23.1" customHeight="1" x14ac:dyDescent="0.25">
      <c r="A131" s="10"/>
      <c r="B131" s="168" t="s">
        <v>123</v>
      </c>
      <c r="C131" s="129"/>
      <c r="D131" s="129"/>
      <c r="E131" s="129"/>
      <c r="F131" s="129"/>
      <c r="G131" s="129"/>
      <c r="H131" s="130"/>
      <c r="I131" s="44">
        <v>7.5999999999999998E-2</v>
      </c>
      <c r="J131" s="9">
        <f t="shared" ref="J131:J132" si="3">ROUND(($J$128/(1-$I$140))*I131,2)</f>
        <v>395.72</v>
      </c>
      <c r="K131" s="35"/>
      <c r="R131" s="4"/>
      <c r="S131" s="3"/>
      <c r="T131" s="3"/>
      <c r="U131" s="3"/>
      <c r="V131" s="3"/>
      <c r="W131" s="25"/>
    </row>
    <row r="132" spans="1:23" s="6" customFormat="1" ht="23.1" customHeight="1" x14ac:dyDescent="0.25">
      <c r="A132" s="10"/>
      <c r="B132" s="168" t="s">
        <v>124</v>
      </c>
      <c r="C132" s="129"/>
      <c r="D132" s="129"/>
      <c r="E132" s="129"/>
      <c r="F132" s="129"/>
      <c r="G132" s="129"/>
      <c r="H132" s="130"/>
      <c r="I132" s="44">
        <v>1.6500000000000001E-2</v>
      </c>
      <c r="J132" s="9">
        <f t="shared" si="3"/>
        <v>85.91</v>
      </c>
      <c r="K132" s="35"/>
      <c r="R132" s="2"/>
      <c r="S132" s="3"/>
      <c r="T132" s="3"/>
      <c r="U132" s="3"/>
      <c r="V132" s="3"/>
      <c r="W132" s="25"/>
    </row>
    <row r="133" spans="1:23" s="6" customFormat="1" ht="23.1" customHeight="1" x14ac:dyDescent="0.25">
      <c r="A133" s="10"/>
      <c r="B133" s="128" t="s">
        <v>89</v>
      </c>
      <c r="C133" s="129"/>
      <c r="D133" s="129"/>
      <c r="E133" s="129"/>
      <c r="F133" s="129"/>
      <c r="G133" s="129"/>
      <c r="H133" s="130"/>
      <c r="I133" s="26" t="s">
        <v>47</v>
      </c>
      <c r="J133" s="17" t="s">
        <v>47</v>
      </c>
      <c r="K133" s="35"/>
      <c r="R133" s="4"/>
      <c r="S133" s="3"/>
      <c r="T133" s="3"/>
      <c r="U133" s="3"/>
      <c r="V133" s="3"/>
      <c r="W133" s="25"/>
    </row>
    <row r="134" spans="1:23" s="6" customFormat="1" ht="23.1" customHeight="1" x14ac:dyDescent="0.25">
      <c r="A134" s="10"/>
      <c r="B134" s="128" t="s">
        <v>90</v>
      </c>
      <c r="C134" s="129"/>
      <c r="D134" s="129"/>
      <c r="E134" s="129"/>
      <c r="F134" s="129"/>
      <c r="G134" s="129"/>
      <c r="H134" s="130"/>
      <c r="I134" s="26" t="s">
        <v>47</v>
      </c>
      <c r="J134" s="17" t="s">
        <v>47</v>
      </c>
      <c r="K134" s="35"/>
      <c r="R134" s="1"/>
      <c r="S134" s="3"/>
      <c r="T134" s="3"/>
      <c r="U134" s="3"/>
      <c r="V134" s="3"/>
      <c r="W134" s="25"/>
    </row>
    <row r="135" spans="1:23" s="6" customFormat="1" ht="23.1" customHeight="1" x14ac:dyDescent="0.25">
      <c r="A135" s="10"/>
      <c r="B135" s="168" t="s">
        <v>91</v>
      </c>
      <c r="C135" s="129"/>
      <c r="D135" s="129"/>
      <c r="E135" s="129"/>
      <c r="F135" s="129"/>
      <c r="G135" s="129"/>
      <c r="H135" s="130"/>
      <c r="I135" s="26" t="s">
        <v>47</v>
      </c>
      <c r="J135" s="17" t="s">
        <v>47</v>
      </c>
      <c r="K135" s="35"/>
      <c r="R135" s="1"/>
      <c r="S135" s="3"/>
      <c r="T135" s="3"/>
      <c r="U135" s="3"/>
      <c r="V135" s="3"/>
      <c r="W135" s="25"/>
    </row>
    <row r="136" spans="1:23" s="6" customFormat="1" ht="23.1" customHeight="1" x14ac:dyDescent="0.25">
      <c r="A136" s="10"/>
      <c r="B136" s="168" t="s">
        <v>92</v>
      </c>
      <c r="C136" s="129"/>
      <c r="D136" s="129"/>
      <c r="E136" s="129"/>
      <c r="F136" s="129"/>
      <c r="G136" s="129"/>
      <c r="H136" s="130"/>
      <c r="I136" s="26" t="s">
        <v>47</v>
      </c>
      <c r="J136" s="17" t="s">
        <v>47</v>
      </c>
      <c r="K136" s="35"/>
    </row>
    <row r="137" spans="1:23" s="6" customFormat="1" ht="23.1" customHeight="1" x14ac:dyDescent="0.25">
      <c r="A137" s="10"/>
      <c r="B137" s="168" t="s">
        <v>125</v>
      </c>
      <c r="C137" s="129"/>
      <c r="D137" s="129"/>
      <c r="E137" s="129"/>
      <c r="F137" s="129"/>
      <c r="G137" s="129"/>
      <c r="H137" s="130"/>
      <c r="I137" s="45">
        <v>0.02</v>
      </c>
      <c r="J137" s="9">
        <f>ROUND(($J$128/(1-$I$140))*I137,2)</f>
        <v>104.14</v>
      </c>
      <c r="K137" s="35"/>
    </row>
    <row r="138" spans="1:23" s="6" customFormat="1" ht="23.1" customHeight="1" x14ac:dyDescent="0.25">
      <c r="A138" s="172" t="s">
        <v>24</v>
      </c>
      <c r="B138" s="126"/>
      <c r="C138" s="126"/>
      <c r="D138" s="126"/>
      <c r="E138" s="126"/>
      <c r="F138" s="126"/>
      <c r="G138" s="126"/>
      <c r="H138" s="126"/>
      <c r="I138" s="127"/>
      <c r="J138" s="37">
        <f>SUM(J125+J127+J131+J132+J137)</f>
        <v>1085.6500000000001</v>
      </c>
      <c r="K138" s="35"/>
    </row>
    <row r="139" spans="1:23" s="6" customFormat="1" ht="23.1" customHeight="1" x14ac:dyDescent="0.25">
      <c r="A139" s="162"/>
      <c r="B139" s="129"/>
      <c r="C139" s="129"/>
      <c r="D139" s="129"/>
      <c r="E139" s="129"/>
      <c r="F139" s="129"/>
      <c r="G139" s="129"/>
      <c r="H139" s="129"/>
      <c r="I139" s="129"/>
      <c r="J139" s="129"/>
      <c r="K139" s="35"/>
    </row>
    <row r="140" spans="1:23" s="6" customFormat="1" ht="23.1" customHeight="1" x14ac:dyDescent="0.25">
      <c r="A140" s="185" t="s">
        <v>93</v>
      </c>
      <c r="B140" s="129"/>
      <c r="C140" s="129"/>
      <c r="D140" s="129"/>
      <c r="E140" s="129"/>
      <c r="F140" s="129"/>
      <c r="G140" s="129"/>
      <c r="H140" s="130"/>
      <c r="I140" s="27">
        <f t="shared" ref="I140:J140" si="4">SUM(I131:I137)</f>
        <v>0.1125</v>
      </c>
      <c r="J140" s="23">
        <f t="shared" si="4"/>
        <v>585.77</v>
      </c>
      <c r="K140" s="35"/>
    </row>
    <row r="141" spans="1:23" s="6" customFormat="1" ht="23.1" customHeight="1" x14ac:dyDescent="0.25">
      <c r="A141" s="186" t="s">
        <v>94</v>
      </c>
      <c r="B141" s="187"/>
      <c r="C141" s="188"/>
      <c r="D141" s="193" t="s">
        <v>95</v>
      </c>
      <c r="E141" s="194"/>
      <c r="F141" s="194"/>
      <c r="G141" s="194"/>
      <c r="H141" s="194"/>
      <c r="I141" s="194"/>
      <c r="J141" s="195"/>
      <c r="K141" s="35"/>
    </row>
    <row r="142" spans="1:23" s="6" customFormat="1" ht="23.1" customHeight="1" x14ac:dyDescent="0.25">
      <c r="A142" s="189"/>
      <c r="B142" s="190"/>
      <c r="C142" s="191"/>
      <c r="D142" s="196" t="s">
        <v>96</v>
      </c>
      <c r="E142" s="197"/>
      <c r="F142" s="197"/>
      <c r="G142" s="197"/>
      <c r="H142" s="197"/>
      <c r="I142" s="197"/>
      <c r="J142" s="198"/>
      <c r="K142" s="35"/>
    </row>
    <row r="143" spans="1:23" s="6" customFormat="1" ht="23.1" customHeight="1" x14ac:dyDescent="0.25">
      <c r="A143" s="192"/>
      <c r="B143" s="158"/>
      <c r="C143" s="159"/>
      <c r="D143" s="199" t="s">
        <v>97</v>
      </c>
      <c r="E143" s="200"/>
      <c r="F143" s="200"/>
      <c r="G143" s="200"/>
      <c r="H143" s="200"/>
      <c r="I143" s="200"/>
      <c r="J143" s="201"/>
      <c r="K143" s="35"/>
    </row>
    <row r="144" spans="1:23" s="6" customFormat="1" ht="23.1" customHeight="1" x14ac:dyDescent="0.25">
      <c r="A144" s="162"/>
      <c r="B144" s="129"/>
      <c r="C144" s="129"/>
      <c r="D144" s="129"/>
      <c r="E144" s="129"/>
      <c r="F144" s="129"/>
      <c r="G144" s="129"/>
      <c r="H144" s="129"/>
      <c r="I144" s="129"/>
      <c r="J144" s="129"/>
      <c r="K144" s="35"/>
    </row>
    <row r="145" spans="1:11" s="6" customFormat="1" ht="23.1" customHeight="1" x14ac:dyDescent="0.25">
      <c r="A145" s="181" t="s">
        <v>133</v>
      </c>
      <c r="B145" s="182"/>
      <c r="C145" s="182"/>
      <c r="D145" s="182"/>
      <c r="E145" s="182"/>
      <c r="F145" s="182"/>
      <c r="G145" s="182"/>
      <c r="H145" s="182"/>
      <c r="I145" s="182"/>
      <c r="J145" s="183"/>
      <c r="K145" s="35"/>
    </row>
    <row r="146" spans="1:11" s="6" customFormat="1" ht="23.1" customHeight="1" x14ac:dyDescent="0.25">
      <c r="A146" s="184" t="s">
        <v>98</v>
      </c>
      <c r="B146" s="126"/>
      <c r="C146" s="126"/>
      <c r="D146" s="126"/>
      <c r="E146" s="126"/>
      <c r="F146" s="126"/>
      <c r="G146" s="126"/>
      <c r="H146" s="126"/>
      <c r="I146" s="127"/>
      <c r="J146" s="36" t="s">
        <v>23</v>
      </c>
      <c r="K146" s="35"/>
    </row>
    <row r="147" spans="1:11" s="6" customFormat="1" ht="23.1" customHeight="1" x14ac:dyDescent="0.25">
      <c r="A147" s="28" t="s">
        <v>3</v>
      </c>
      <c r="B147" s="179" t="s">
        <v>99</v>
      </c>
      <c r="C147" s="129"/>
      <c r="D147" s="129"/>
      <c r="E147" s="129"/>
      <c r="F147" s="129"/>
      <c r="G147" s="129"/>
      <c r="H147" s="129"/>
      <c r="I147" s="130"/>
      <c r="J147" s="8">
        <f>J34</f>
        <v>2060.4</v>
      </c>
      <c r="K147" s="35"/>
    </row>
    <row r="148" spans="1:11" s="6" customFormat="1" ht="23.1" customHeight="1" x14ac:dyDescent="0.25">
      <c r="A148" s="28" t="s">
        <v>5</v>
      </c>
      <c r="B148" s="179" t="s">
        <v>20</v>
      </c>
      <c r="C148" s="129"/>
      <c r="D148" s="129"/>
      <c r="E148" s="129"/>
      <c r="F148" s="129"/>
      <c r="G148" s="129"/>
      <c r="H148" s="129"/>
      <c r="I148" s="130"/>
      <c r="J148" s="8">
        <f>J76</f>
        <v>1626.99</v>
      </c>
      <c r="K148" s="35"/>
    </row>
    <row r="149" spans="1:11" s="6" customFormat="1" ht="23.1" customHeight="1" x14ac:dyDescent="0.25">
      <c r="A149" s="28" t="s">
        <v>7</v>
      </c>
      <c r="B149" s="179" t="s">
        <v>100</v>
      </c>
      <c r="C149" s="129"/>
      <c r="D149" s="129"/>
      <c r="E149" s="129"/>
      <c r="F149" s="129"/>
      <c r="G149" s="129"/>
      <c r="H149" s="129"/>
      <c r="I149" s="130"/>
      <c r="J149" s="8">
        <f>J86</f>
        <v>99</v>
      </c>
      <c r="K149" s="35"/>
    </row>
    <row r="150" spans="1:11" s="6" customFormat="1" ht="23.1" customHeight="1" x14ac:dyDescent="0.25">
      <c r="A150" s="28" t="s">
        <v>9</v>
      </c>
      <c r="B150" s="179" t="s">
        <v>101</v>
      </c>
      <c r="C150" s="129"/>
      <c r="D150" s="129"/>
      <c r="E150" s="129"/>
      <c r="F150" s="129"/>
      <c r="G150" s="129"/>
      <c r="H150" s="129"/>
      <c r="I150" s="130"/>
      <c r="J150" s="8">
        <f>J112</f>
        <v>334.75</v>
      </c>
      <c r="K150" s="35"/>
    </row>
    <row r="151" spans="1:11" s="6" customFormat="1" ht="23.1" customHeight="1" x14ac:dyDescent="0.25">
      <c r="A151" s="28" t="s">
        <v>36</v>
      </c>
      <c r="B151" s="179" t="s">
        <v>102</v>
      </c>
      <c r="C151" s="129"/>
      <c r="D151" s="129"/>
      <c r="E151" s="129"/>
      <c r="F151" s="129"/>
      <c r="G151" s="129"/>
      <c r="H151" s="129"/>
      <c r="I151" s="130"/>
      <c r="J151" s="8">
        <f>J120</f>
        <v>0</v>
      </c>
      <c r="K151" s="35"/>
    </row>
    <row r="152" spans="1:11" s="6" customFormat="1" ht="23.1" customHeight="1" x14ac:dyDescent="0.25">
      <c r="A152" s="180" t="s">
        <v>103</v>
      </c>
      <c r="B152" s="126"/>
      <c r="C152" s="126"/>
      <c r="D152" s="126"/>
      <c r="E152" s="126"/>
      <c r="F152" s="126"/>
      <c r="G152" s="126"/>
      <c r="H152" s="126"/>
      <c r="I152" s="127"/>
      <c r="J152" s="40">
        <f>SUM(J147:J151)</f>
        <v>4121.1400000000003</v>
      </c>
      <c r="K152" s="35"/>
    </row>
    <row r="153" spans="1:11" s="6" customFormat="1" ht="23.1" customHeight="1" x14ac:dyDescent="0.25">
      <c r="A153" s="28" t="s">
        <v>38</v>
      </c>
      <c r="B153" s="179" t="s">
        <v>104</v>
      </c>
      <c r="C153" s="129"/>
      <c r="D153" s="129"/>
      <c r="E153" s="129"/>
      <c r="F153" s="129"/>
      <c r="G153" s="129"/>
      <c r="H153" s="129"/>
      <c r="I153" s="130"/>
      <c r="J153" s="8">
        <f>J138</f>
        <v>1085.6500000000001</v>
      </c>
      <c r="K153" s="35"/>
    </row>
    <row r="154" spans="1:11" s="6" customFormat="1" ht="48.75" customHeight="1" x14ac:dyDescent="0.25">
      <c r="A154" s="180" t="s">
        <v>105</v>
      </c>
      <c r="B154" s="126"/>
      <c r="C154" s="126"/>
      <c r="D154" s="126"/>
      <c r="E154" s="126"/>
      <c r="F154" s="126"/>
      <c r="G154" s="126"/>
      <c r="H154" s="126"/>
      <c r="I154" s="127"/>
      <c r="J154" s="40">
        <f>SUM(J152:J153)</f>
        <v>5206.7900000000009</v>
      </c>
      <c r="K154" s="35"/>
    </row>
    <row r="155" spans="1:11" ht="44.25" hidden="1" customHeight="1" x14ac:dyDescent="0.25"/>
    <row r="156" spans="1:11" ht="44.25" hidden="1" customHeight="1" x14ac:dyDescent="0.25"/>
    <row r="157" spans="1:11" ht="44.25" hidden="1" customHeight="1" x14ac:dyDescent="0.25"/>
  </sheetData>
  <mergeCells count="168">
    <mergeCell ref="B150:I150"/>
    <mergeCell ref="B151:I151"/>
    <mergeCell ref="A152:I152"/>
    <mergeCell ref="B153:I153"/>
    <mergeCell ref="A154:I154"/>
    <mergeCell ref="B30:H30"/>
    <mergeCell ref="B31:H31"/>
    <mergeCell ref="B32:H32"/>
    <mergeCell ref="B73:I73"/>
    <mergeCell ref="B74:I74"/>
    <mergeCell ref="A144:J144"/>
    <mergeCell ref="A145:J145"/>
    <mergeCell ref="A146:I146"/>
    <mergeCell ref="B147:I147"/>
    <mergeCell ref="B148:I148"/>
    <mergeCell ref="B149:I149"/>
    <mergeCell ref="A138:I138"/>
    <mergeCell ref="A139:J139"/>
    <mergeCell ref="A140:H140"/>
    <mergeCell ref="A141:C143"/>
    <mergeCell ref="D141:J141"/>
    <mergeCell ref="D142:J142"/>
    <mergeCell ref="D143:J143"/>
    <mergeCell ref="B132:H132"/>
    <mergeCell ref="B133:H133"/>
    <mergeCell ref="B134:H134"/>
    <mergeCell ref="B135:H135"/>
    <mergeCell ref="B136:H136"/>
    <mergeCell ref="B137:H137"/>
    <mergeCell ref="A126:H126"/>
    <mergeCell ref="B127:H127"/>
    <mergeCell ref="A128:H128"/>
    <mergeCell ref="B129:H129"/>
    <mergeCell ref="B130:H130"/>
    <mergeCell ref="B131:H131"/>
    <mergeCell ref="A120:I120"/>
    <mergeCell ref="A121:J121"/>
    <mergeCell ref="A122:J122"/>
    <mergeCell ref="B123:H123"/>
    <mergeCell ref="A124:H124"/>
    <mergeCell ref="B125:H125"/>
    <mergeCell ref="A114:J114"/>
    <mergeCell ref="B115:I115"/>
    <mergeCell ref="B116:I116"/>
    <mergeCell ref="B117:I117"/>
    <mergeCell ref="B118:I118"/>
    <mergeCell ref="B119:I119"/>
    <mergeCell ref="A108:J108"/>
    <mergeCell ref="B109:I109"/>
    <mergeCell ref="B110:I110"/>
    <mergeCell ref="B111:I111"/>
    <mergeCell ref="A112:I112"/>
    <mergeCell ref="A113:J113"/>
    <mergeCell ref="B102:I102"/>
    <mergeCell ref="B103:I103"/>
    <mergeCell ref="A104:I104"/>
    <mergeCell ref="B105:I105"/>
    <mergeCell ref="A106:I106"/>
    <mergeCell ref="A107:J107"/>
    <mergeCell ref="B96:I96"/>
    <mergeCell ref="B97:I97"/>
    <mergeCell ref="A98:I98"/>
    <mergeCell ref="B99:I99"/>
    <mergeCell ref="A100:I100"/>
    <mergeCell ref="A101:J101"/>
    <mergeCell ref="A90:J90"/>
    <mergeCell ref="B91:I91"/>
    <mergeCell ref="B92:H92"/>
    <mergeCell ref="B93:I93"/>
    <mergeCell ref="B94:I94"/>
    <mergeCell ref="B95:I95"/>
    <mergeCell ref="B84:I84"/>
    <mergeCell ref="B85:H85"/>
    <mergeCell ref="A86:I86"/>
    <mergeCell ref="A87:J87"/>
    <mergeCell ref="A88:J88"/>
    <mergeCell ref="A89:I89"/>
    <mergeCell ref="A78:J78"/>
    <mergeCell ref="B79:I79"/>
    <mergeCell ref="B80:I80"/>
    <mergeCell ref="B81:I81"/>
    <mergeCell ref="B82:H82"/>
    <mergeCell ref="B83:I83"/>
    <mergeCell ref="B72:I72"/>
    <mergeCell ref="A76:I76"/>
    <mergeCell ref="A77:J77"/>
    <mergeCell ref="B75:I75"/>
    <mergeCell ref="B66:H66"/>
    <mergeCell ref="B67:I67"/>
    <mergeCell ref="B68:I68"/>
    <mergeCell ref="A69:I69"/>
    <mergeCell ref="A70:J70"/>
    <mergeCell ref="A71:J71"/>
    <mergeCell ref="B60:H60"/>
    <mergeCell ref="B61:H61"/>
    <mergeCell ref="B62:H62"/>
    <mergeCell ref="B63:I63"/>
    <mergeCell ref="B64:H64"/>
    <mergeCell ref="B65:H65"/>
    <mergeCell ref="B54:H54"/>
    <mergeCell ref="A55:H55"/>
    <mergeCell ref="A56:J56"/>
    <mergeCell ref="A57:J57"/>
    <mergeCell ref="B58:I58"/>
    <mergeCell ref="B59:I59"/>
    <mergeCell ref="B48:H48"/>
    <mergeCell ref="B49:D49"/>
    <mergeCell ref="B50:H50"/>
    <mergeCell ref="B51:H51"/>
    <mergeCell ref="B52:H52"/>
    <mergeCell ref="B53:H53"/>
    <mergeCell ref="B42:I42"/>
    <mergeCell ref="A43:I43"/>
    <mergeCell ref="A44:J44"/>
    <mergeCell ref="A45:J45"/>
    <mergeCell ref="B46:H46"/>
    <mergeCell ref="B47:H47"/>
    <mergeCell ref="A36:J36"/>
    <mergeCell ref="A37:J37"/>
    <mergeCell ref="B38:I38"/>
    <mergeCell ref="B39:H39"/>
    <mergeCell ref="B40:H40"/>
    <mergeCell ref="A41:I41"/>
    <mergeCell ref="B27:H27"/>
    <mergeCell ref="B28:H28"/>
    <mergeCell ref="B29:H29"/>
    <mergeCell ref="B33:H33"/>
    <mergeCell ref="A34:I34"/>
    <mergeCell ref="A35:J35"/>
    <mergeCell ref="B22:H22"/>
    <mergeCell ref="I22:J22"/>
    <mergeCell ref="A23:J23"/>
    <mergeCell ref="A24:J24"/>
    <mergeCell ref="B25:H25"/>
    <mergeCell ref="B26:G26"/>
    <mergeCell ref="B19:H19"/>
    <mergeCell ref="I19:J19"/>
    <mergeCell ref="B20:H20"/>
    <mergeCell ref="I20:J20"/>
    <mergeCell ref="B21:H21"/>
    <mergeCell ref="I21:J21"/>
    <mergeCell ref="A15:J15"/>
    <mergeCell ref="B16:H16"/>
    <mergeCell ref="I16:J16"/>
    <mergeCell ref="B17:H17"/>
    <mergeCell ref="I17:J17"/>
    <mergeCell ref="B18:H18"/>
    <mergeCell ref="I18:J18"/>
    <mergeCell ref="B10:G10"/>
    <mergeCell ref="H10:J10"/>
    <mergeCell ref="B11:G11"/>
    <mergeCell ref="H11:J11"/>
    <mergeCell ref="A13:J13"/>
    <mergeCell ref="A14:J14"/>
    <mergeCell ref="A5:G5"/>
    <mergeCell ref="H5:J5"/>
    <mergeCell ref="A7:J7"/>
    <mergeCell ref="B8:G8"/>
    <mergeCell ref="H8:J8"/>
    <mergeCell ref="B9:G9"/>
    <mergeCell ref="H9:J9"/>
    <mergeCell ref="A1:G1"/>
    <mergeCell ref="H1:J1"/>
    <mergeCell ref="A2:J2"/>
    <mergeCell ref="A3:G3"/>
    <mergeCell ref="H3:J3"/>
    <mergeCell ref="A4:G4"/>
    <mergeCell ref="H4:J4"/>
  </mergeCells>
  <pageMargins left="0.19685039370078741" right="0.19685039370078741" top="0.19685039370078741" bottom="0.19685039370078741" header="0.31496062992125984" footer="0.31496062992125984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57"/>
  <sheetViews>
    <sheetView topLeftCell="A35" zoomScale="90" zoomScaleNormal="90" workbookViewId="0">
      <selection activeCell="B80" sqref="B80:I80"/>
    </sheetView>
  </sheetViews>
  <sheetFormatPr defaultColWidth="0" defaultRowHeight="23.1" customHeight="1" zeroHeight="1" x14ac:dyDescent="0.25"/>
  <cols>
    <col min="1" max="1" width="10.7109375" style="5" customWidth="1"/>
    <col min="2" max="10" width="15.7109375" style="5" customWidth="1"/>
    <col min="11" max="11" width="1.7109375" style="5" customWidth="1"/>
    <col min="12" max="12" width="11.5703125" style="5" hidden="1" customWidth="1"/>
    <col min="13" max="13" width="13.28515625" style="5" hidden="1" customWidth="1"/>
    <col min="14" max="18" width="11.5703125" style="5" hidden="1" customWidth="1"/>
    <col min="19" max="20" width="15" style="5" hidden="1" customWidth="1"/>
    <col min="21" max="21" width="13.140625" style="5" hidden="1" customWidth="1"/>
    <col min="22" max="22" width="16.7109375" style="5" hidden="1" customWidth="1"/>
    <col min="23" max="23" width="12.85546875" style="5" hidden="1" customWidth="1"/>
    <col min="24" max="26" width="11.5703125" style="5" hidden="1" customWidth="1"/>
    <col min="27" max="16384" width="14.42578125" style="5" hidden="1"/>
  </cols>
  <sheetData>
    <row r="1" spans="1:11" ht="33.200000000000003" customHeight="1" x14ac:dyDescent="0.25">
      <c r="A1" s="138" t="s">
        <v>182</v>
      </c>
      <c r="B1" s="213"/>
      <c r="C1" s="213"/>
      <c r="D1" s="213"/>
      <c r="E1" s="213"/>
      <c r="F1" s="213"/>
      <c r="G1" s="214"/>
      <c r="H1" s="135" t="s">
        <v>106</v>
      </c>
      <c r="I1" s="136"/>
      <c r="J1" s="137"/>
      <c r="K1" s="34"/>
    </row>
    <row r="2" spans="1:11" ht="23.1" customHeight="1" x14ac:dyDescent="0.25">
      <c r="A2" s="138" t="s">
        <v>194</v>
      </c>
      <c r="B2" s="139"/>
      <c r="C2" s="139"/>
      <c r="D2" s="139"/>
      <c r="E2" s="139"/>
      <c r="F2" s="139"/>
      <c r="G2" s="139"/>
      <c r="H2" s="139"/>
      <c r="I2" s="139"/>
      <c r="J2" s="140"/>
      <c r="K2" s="34"/>
    </row>
    <row r="3" spans="1:11" s="6" customFormat="1" ht="23.1" customHeight="1" x14ac:dyDescent="0.25">
      <c r="A3" s="128" t="s">
        <v>0</v>
      </c>
      <c r="B3" s="120"/>
      <c r="C3" s="120"/>
      <c r="D3" s="120"/>
      <c r="E3" s="120"/>
      <c r="F3" s="120"/>
      <c r="G3" s="130"/>
      <c r="H3" s="122"/>
      <c r="I3" s="123"/>
      <c r="J3" s="124"/>
      <c r="K3" s="35"/>
    </row>
    <row r="4" spans="1:11" s="6" customFormat="1" ht="23.1" customHeight="1" x14ac:dyDescent="0.25">
      <c r="A4" s="128" t="s">
        <v>1</v>
      </c>
      <c r="B4" s="141"/>
      <c r="C4" s="141"/>
      <c r="D4" s="141"/>
      <c r="E4" s="141"/>
      <c r="F4" s="141"/>
      <c r="G4" s="130"/>
      <c r="H4" s="122"/>
      <c r="I4" s="123"/>
      <c r="J4" s="124"/>
      <c r="K4" s="35"/>
    </row>
    <row r="5" spans="1:11" s="6" customFormat="1" ht="23.1" customHeight="1" x14ac:dyDescent="0.25">
      <c r="A5" s="119" t="s">
        <v>108</v>
      </c>
      <c r="B5" s="120"/>
      <c r="C5" s="120"/>
      <c r="D5" s="120"/>
      <c r="E5" s="120"/>
      <c r="F5" s="120"/>
      <c r="G5" s="121"/>
      <c r="H5" s="122"/>
      <c r="I5" s="123"/>
      <c r="J5" s="124"/>
      <c r="K5" s="35"/>
    </row>
    <row r="6" spans="1:11" s="6" customFormat="1" ht="23.1" customHeight="1" x14ac:dyDescent="0.25">
      <c r="A6" s="50"/>
      <c r="B6" s="49"/>
      <c r="C6" s="49"/>
      <c r="D6" s="49"/>
      <c r="E6" s="49"/>
      <c r="F6" s="49"/>
      <c r="G6" s="50"/>
      <c r="H6" s="51"/>
      <c r="I6" s="49"/>
      <c r="J6" s="49"/>
      <c r="K6" s="35"/>
    </row>
    <row r="7" spans="1:11" s="6" customFormat="1" ht="23.1" customHeight="1" x14ac:dyDescent="0.25">
      <c r="A7" s="142" t="s">
        <v>2</v>
      </c>
      <c r="B7" s="211"/>
      <c r="C7" s="211"/>
      <c r="D7" s="211"/>
      <c r="E7" s="211"/>
      <c r="F7" s="211"/>
      <c r="G7" s="211"/>
      <c r="H7" s="211"/>
      <c r="I7" s="211"/>
      <c r="J7" s="212"/>
      <c r="K7" s="35"/>
    </row>
    <row r="8" spans="1:11" s="6" customFormat="1" ht="23.1" customHeight="1" x14ac:dyDescent="0.25">
      <c r="A8" s="7" t="s">
        <v>3</v>
      </c>
      <c r="B8" s="119" t="s">
        <v>4</v>
      </c>
      <c r="C8" s="165"/>
      <c r="D8" s="165"/>
      <c r="E8" s="165"/>
      <c r="F8" s="165"/>
      <c r="G8" s="134"/>
      <c r="H8" s="132"/>
      <c r="I8" s="132"/>
      <c r="J8" s="133"/>
      <c r="K8" s="35"/>
    </row>
    <row r="9" spans="1:11" s="6" customFormat="1" ht="23.1" customHeight="1" x14ac:dyDescent="0.25">
      <c r="A9" s="7" t="s">
        <v>5</v>
      </c>
      <c r="B9" s="119" t="s">
        <v>6</v>
      </c>
      <c r="C9" s="165"/>
      <c r="D9" s="165"/>
      <c r="E9" s="165"/>
      <c r="F9" s="165"/>
      <c r="G9" s="215" t="s">
        <v>109</v>
      </c>
      <c r="H9" s="216"/>
      <c r="I9" s="216"/>
      <c r="J9" s="217"/>
      <c r="K9" s="35"/>
    </row>
    <row r="10" spans="1:11" s="6" customFormat="1" ht="120" customHeight="1" x14ac:dyDescent="0.25">
      <c r="A10" s="7" t="s">
        <v>7</v>
      </c>
      <c r="B10" s="202" t="s">
        <v>197</v>
      </c>
      <c r="C10" s="203"/>
      <c r="D10" s="203"/>
      <c r="E10" s="203"/>
      <c r="F10" s="203"/>
      <c r="G10" s="204" t="s">
        <v>180</v>
      </c>
      <c r="H10" s="205"/>
      <c r="I10" s="205"/>
      <c r="J10" s="206"/>
      <c r="K10" s="35"/>
    </row>
    <row r="11" spans="1:11" s="6" customFormat="1" ht="23.1" customHeight="1" x14ac:dyDescent="0.25">
      <c r="A11" s="7" t="s">
        <v>9</v>
      </c>
      <c r="B11" s="154" t="s">
        <v>10</v>
      </c>
      <c r="C11" s="207"/>
      <c r="D11" s="207"/>
      <c r="E11" s="207"/>
      <c r="F11" s="207"/>
      <c r="G11" s="208">
        <v>60</v>
      </c>
      <c r="H11" s="209"/>
      <c r="I11" s="209"/>
      <c r="J11" s="210"/>
      <c r="K11" s="35"/>
    </row>
    <row r="12" spans="1:11" s="6" customFormat="1" ht="23.1" customHeight="1" x14ac:dyDescent="0.25">
      <c r="A12" s="51"/>
      <c r="B12" s="32"/>
      <c r="C12" s="52"/>
      <c r="D12" s="52"/>
      <c r="E12" s="52"/>
      <c r="F12" s="52"/>
      <c r="G12" s="52"/>
      <c r="H12" s="51"/>
      <c r="I12" s="31"/>
      <c r="J12" s="31"/>
      <c r="K12" s="35"/>
    </row>
    <row r="13" spans="1:11" s="6" customFormat="1" ht="23.1" customHeight="1" x14ac:dyDescent="0.25">
      <c r="A13" s="154" t="s">
        <v>134</v>
      </c>
      <c r="B13" s="155"/>
      <c r="C13" s="155"/>
      <c r="D13" s="155"/>
      <c r="E13" s="155"/>
      <c r="F13" s="155"/>
      <c r="G13" s="155"/>
      <c r="H13" s="155"/>
      <c r="I13" s="155"/>
      <c r="J13" s="156"/>
      <c r="K13" s="35"/>
    </row>
    <row r="14" spans="1:11" s="6" customFormat="1" ht="23.1" customHeight="1" x14ac:dyDescent="0.25">
      <c r="A14" s="157"/>
      <c r="B14" s="158"/>
      <c r="C14" s="158"/>
      <c r="D14" s="158"/>
      <c r="E14" s="158"/>
      <c r="F14" s="158"/>
      <c r="G14" s="158"/>
      <c r="H14" s="158"/>
      <c r="I14" s="158"/>
      <c r="J14" s="159"/>
      <c r="K14" s="35"/>
    </row>
    <row r="15" spans="1:11" s="6" customFormat="1" ht="23.1" customHeight="1" x14ac:dyDescent="0.25">
      <c r="A15" s="142" t="s">
        <v>11</v>
      </c>
      <c r="B15" s="126"/>
      <c r="C15" s="126"/>
      <c r="D15" s="126"/>
      <c r="E15" s="126"/>
      <c r="F15" s="126"/>
      <c r="G15" s="126"/>
      <c r="H15" s="126"/>
      <c r="I15" s="126"/>
      <c r="J15" s="127"/>
      <c r="K15" s="35"/>
    </row>
    <row r="16" spans="1:11" s="6" customFormat="1" ht="30" customHeight="1" x14ac:dyDescent="0.25">
      <c r="A16" s="7">
        <v>1</v>
      </c>
      <c r="B16" s="143" t="s">
        <v>12</v>
      </c>
      <c r="C16" s="144"/>
      <c r="D16" s="144"/>
      <c r="E16" s="144"/>
      <c r="F16" s="144"/>
      <c r="G16" s="144"/>
      <c r="H16" s="145"/>
      <c r="I16" s="208" t="str">
        <f>A1</f>
        <v>TRADUTOR/INTERPRETE DE LIBRAS - 20H/SEMANA</v>
      </c>
      <c r="J16" s="218"/>
      <c r="K16" s="35"/>
    </row>
    <row r="17" spans="1:11" s="6" customFormat="1" ht="30" customHeight="1" x14ac:dyDescent="0.25">
      <c r="A17" s="7">
        <v>2</v>
      </c>
      <c r="B17" s="143" t="s">
        <v>13</v>
      </c>
      <c r="C17" s="144"/>
      <c r="D17" s="144"/>
      <c r="E17" s="144"/>
      <c r="F17" s="144"/>
      <c r="G17" s="144"/>
      <c r="H17" s="145"/>
      <c r="I17" s="219" t="s">
        <v>181</v>
      </c>
      <c r="J17" s="220"/>
      <c r="K17" s="35"/>
    </row>
    <row r="18" spans="1:11" s="6" customFormat="1" ht="99.95" customHeight="1" x14ac:dyDescent="0.25">
      <c r="A18" s="7">
        <v>3</v>
      </c>
      <c r="B18" s="202" t="s">
        <v>198</v>
      </c>
      <c r="C18" s="203"/>
      <c r="D18" s="203"/>
      <c r="E18" s="203"/>
      <c r="F18" s="203"/>
      <c r="G18" s="203"/>
      <c r="H18" s="221"/>
      <c r="I18" s="222">
        <v>2016</v>
      </c>
      <c r="J18" s="223"/>
      <c r="K18" s="35"/>
    </row>
    <row r="19" spans="1:11" s="6" customFormat="1" ht="30" customHeight="1" x14ac:dyDescent="0.25">
      <c r="A19" s="7">
        <v>4</v>
      </c>
      <c r="B19" s="143" t="s">
        <v>15</v>
      </c>
      <c r="C19" s="144"/>
      <c r="D19" s="144"/>
      <c r="E19" s="144"/>
      <c r="F19" s="144"/>
      <c r="G19" s="144"/>
      <c r="H19" s="145"/>
      <c r="I19" s="219" t="str">
        <f>I16</f>
        <v>TRADUTOR/INTERPRETE DE LIBRAS - 20H/SEMANA</v>
      </c>
      <c r="J19" s="220"/>
      <c r="K19" s="35"/>
    </row>
    <row r="20" spans="1:11" s="6" customFormat="1" ht="99.95" customHeight="1" x14ac:dyDescent="0.25">
      <c r="A20" s="7">
        <v>5</v>
      </c>
      <c r="B20" s="202" t="s">
        <v>199</v>
      </c>
      <c r="C20" s="203"/>
      <c r="D20" s="203"/>
      <c r="E20" s="203"/>
      <c r="F20" s="203"/>
      <c r="G20" s="203"/>
      <c r="H20" s="221"/>
      <c r="I20" s="226">
        <v>44927</v>
      </c>
      <c r="J20" s="227"/>
      <c r="K20" s="35"/>
    </row>
    <row r="21" spans="1:11" s="6" customFormat="1" ht="30" customHeight="1" x14ac:dyDescent="0.25">
      <c r="A21" s="7">
        <v>6</v>
      </c>
      <c r="B21" s="128" t="s">
        <v>130</v>
      </c>
      <c r="C21" s="129"/>
      <c r="D21" s="129"/>
      <c r="E21" s="129"/>
      <c r="F21" s="129"/>
      <c r="G21" s="129"/>
      <c r="H21" s="130"/>
      <c r="I21" s="222">
        <v>1320</v>
      </c>
      <c r="J21" s="223"/>
      <c r="K21" s="35"/>
    </row>
    <row r="22" spans="1:11" s="6" customFormat="1" ht="30" customHeight="1" x14ac:dyDescent="0.25">
      <c r="A22" s="7">
        <v>7</v>
      </c>
      <c r="B22" s="128" t="s">
        <v>131</v>
      </c>
      <c r="C22" s="129"/>
      <c r="D22" s="129"/>
      <c r="E22" s="129"/>
      <c r="F22" s="129"/>
      <c r="G22" s="129"/>
      <c r="H22" s="130"/>
      <c r="I22" s="224">
        <v>20</v>
      </c>
      <c r="J22" s="225"/>
      <c r="K22" s="35"/>
    </row>
    <row r="23" spans="1:11" s="6" customFormat="1" ht="23.1" customHeight="1" x14ac:dyDescent="0.25">
      <c r="A23" s="162"/>
      <c r="B23" s="129"/>
      <c r="C23" s="129"/>
      <c r="D23" s="129"/>
      <c r="E23" s="129"/>
      <c r="F23" s="129"/>
      <c r="G23" s="129"/>
      <c r="H23" s="129"/>
      <c r="I23" s="129"/>
      <c r="J23" s="129"/>
      <c r="K23" s="35"/>
    </row>
    <row r="24" spans="1:11" s="6" customFormat="1" ht="23.1" customHeight="1" x14ac:dyDescent="0.25">
      <c r="A24" s="128" t="s">
        <v>17</v>
      </c>
      <c r="B24" s="129"/>
      <c r="C24" s="129"/>
      <c r="D24" s="129"/>
      <c r="E24" s="129"/>
      <c r="F24" s="129"/>
      <c r="G24" s="129"/>
      <c r="H24" s="129"/>
      <c r="I24" s="129"/>
      <c r="J24" s="130"/>
      <c r="K24" s="35"/>
    </row>
    <row r="25" spans="1:11" s="6" customFormat="1" ht="23.1" customHeight="1" x14ac:dyDescent="0.25">
      <c r="A25" s="36">
        <v>1</v>
      </c>
      <c r="B25" s="142" t="s">
        <v>18</v>
      </c>
      <c r="C25" s="163"/>
      <c r="D25" s="163"/>
      <c r="E25" s="163"/>
      <c r="F25" s="163"/>
      <c r="G25" s="163"/>
      <c r="H25" s="164"/>
      <c r="I25" s="36" t="s">
        <v>29</v>
      </c>
      <c r="J25" s="36" t="s">
        <v>23</v>
      </c>
      <c r="K25" s="35"/>
    </row>
    <row r="26" spans="1:11" s="6" customFormat="1" ht="23.1" customHeight="1" x14ac:dyDescent="0.25">
      <c r="A26" s="7" t="s">
        <v>3</v>
      </c>
      <c r="B26" s="119" t="s">
        <v>126</v>
      </c>
      <c r="C26" s="165"/>
      <c r="D26" s="165"/>
      <c r="E26" s="165"/>
      <c r="F26" s="165"/>
      <c r="G26" s="165"/>
      <c r="H26" s="33"/>
      <c r="I26" s="29"/>
      <c r="J26" s="8">
        <f>IF((ROUND(I18/20*I22,2))&gt;I21,(ROUND(I18/20*I22,2)),I21)</f>
        <v>2016</v>
      </c>
      <c r="K26" s="35"/>
    </row>
    <row r="27" spans="1:11" s="6" customFormat="1" ht="23.1" customHeight="1" x14ac:dyDescent="0.25">
      <c r="A27" s="7" t="s">
        <v>5</v>
      </c>
      <c r="B27" s="128" t="s">
        <v>144</v>
      </c>
      <c r="C27" s="129"/>
      <c r="D27" s="129"/>
      <c r="E27" s="129"/>
      <c r="F27" s="129"/>
      <c r="G27" s="129"/>
      <c r="H27" s="130"/>
      <c r="I27" s="46"/>
      <c r="J27" s="8">
        <f>ROUND(I27*J26,2)</f>
        <v>0</v>
      </c>
      <c r="K27" s="35"/>
    </row>
    <row r="28" spans="1:11" s="6" customFormat="1" ht="23.1" customHeight="1" x14ac:dyDescent="0.25">
      <c r="A28" s="7" t="s">
        <v>7</v>
      </c>
      <c r="B28" s="128" t="s">
        <v>143</v>
      </c>
      <c r="C28" s="129"/>
      <c r="D28" s="129"/>
      <c r="E28" s="129"/>
      <c r="F28" s="129"/>
      <c r="G28" s="129"/>
      <c r="H28" s="130"/>
      <c r="I28" s="46"/>
      <c r="J28" s="8">
        <f>ROUND(I28*I21,2)</f>
        <v>0</v>
      </c>
      <c r="K28" s="35"/>
    </row>
    <row r="29" spans="1:11" s="6" customFormat="1" ht="23.1" customHeight="1" x14ac:dyDescent="0.25">
      <c r="A29" s="7" t="s">
        <v>7</v>
      </c>
      <c r="B29" s="128" t="s">
        <v>142</v>
      </c>
      <c r="C29" s="129"/>
      <c r="D29" s="129"/>
      <c r="E29" s="129"/>
      <c r="F29" s="129"/>
      <c r="G29" s="129"/>
      <c r="H29" s="130"/>
      <c r="I29" s="46"/>
      <c r="J29" s="8">
        <f>ROUND(I29*J26,2)</f>
        <v>0</v>
      </c>
      <c r="K29" s="35"/>
    </row>
    <row r="30" spans="1:11" s="6" customFormat="1" ht="23.1" customHeight="1" x14ac:dyDescent="0.25">
      <c r="A30" s="7" t="s">
        <v>9</v>
      </c>
      <c r="B30" s="128" t="s">
        <v>146</v>
      </c>
      <c r="C30" s="129"/>
      <c r="D30" s="129"/>
      <c r="E30" s="129"/>
      <c r="F30" s="129"/>
      <c r="G30" s="129"/>
      <c r="H30" s="130"/>
      <c r="I30" s="56"/>
      <c r="J30" s="8">
        <f>ROUND(I18/220*0.2*I30,2)</f>
        <v>0</v>
      </c>
      <c r="K30" s="35"/>
    </row>
    <row r="31" spans="1:11" s="6" customFormat="1" ht="22.5" customHeight="1" x14ac:dyDescent="0.25">
      <c r="A31" s="7" t="s">
        <v>36</v>
      </c>
      <c r="B31" s="128" t="s">
        <v>147</v>
      </c>
      <c r="C31" s="129"/>
      <c r="D31" s="129"/>
      <c r="E31" s="129"/>
      <c r="F31" s="129"/>
      <c r="G31" s="129"/>
      <c r="H31" s="130"/>
      <c r="I31" s="56"/>
      <c r="J31" s="8">
        <f>ROUND((I18/220*1.2*1.5)*(I31*(60-52.5)/60),2)</f>
        <v>0</v>
      </c>
      <c r="K31" s="35"/>
    </row>
    <row r="32" spans="1:11" s="6" customFormat="1" ht="23.1" customHeight="1" x14ac:dyDescent="0.25">
      <c r="A32" s="7" t="s">
        <v>38</v>
      </c>
      <c r="B32" s="128" t="s">
        <v>145</v>
      </c>
      <c r="C32" s="129"/>
      <c r="D32" s="129"/>
      <c r="E32" s="129"/>
      <c r="F32" s="129"/>
      <c r="G32" s="129"/>
      <c r="H32" s="130"/>
      <c r="I32" s="79"/>
      <c r="J32" s="8">
        <f>ROUND((J31+J30)*0.2,2)</f>
        <v>0</v>
      </c>
      <c r="K32" s="35"/>
    </row>
    <row r="33" spans="1:11" s="6" customFormat="1" ht="23.1" customHeight="1" x14ac:dyDescent="0.25">
      <c r="A33" s="7" t="s">
        <v>40</v>
      </c>
      <c r="B33" s="228" t="s">
        <v>127</v>
      </c>
      <c r="C33" s="229"/>
      <c r="D33" s="229"/>
      <c r="E33" s="229"/>
      <c r="F33" s="229"/>
      <c r="G33" s="229"/>
      <c r="H33" s="230"/>
      <c r="I33" s="79"/>
      <c r="J33" s="79"/>
      <c r="K33" s="35"/>
    </row>
    <row r="34" spans="1:11" s="6" customFormat="1" ht="23.1" customHeight="1" x14ac:dyDescent="0.25">
      <c r="A34" s="171" t="s">
        <v>19</v>
      </c>
      <c r="B34" s="126"/>
      <c r="C34" s="126"/>
      <c r="D34" s="126"/>
      <c r="E34" s="126"/>
      <c r="F34" s="126"/>
      <c r="G34" s="126"/>
      <c r="H34" s="126"/>
      <c r="I34" s="127"/>
      <c r="J34" s="37">
        <f>SUM(J26:J33)</f>
        <v>2016</v>
      </c>
      <c r="K34" s="35"/>
    </row>
    <row r="35" spans="1:11" s="6" customFormat="1" ht="23.1" customHeight="1" x14ac:dyDescent="0.25">
      <c r="A35" s="231"/>
      <c r="B35" s="231"/>
      <c r="C35" s="231"/>
      <c r="D35" s="231"/>
      <c r="E35" s="231"/>
      <c r="F35" s="231"/>
      <c r="G35" s="231"/>
      <c r="H35" s="231"/>
      <c r="I35" s="231"/>
      <c r="J35" s="231"/>
      <c r="K35" s="35"/>
    </row>
    <row r="36" spans="1:11" s="6" customFormat="1" ht="23.1" customHeight="1" x14ac:dyDescent="0.25">
      <c r="A36" s="128" t="s">
        <v>20</v>
      </c>
      <c r="B36" s="129"/>
      <c r="C36" s="129"/>
      <c r="D36" s="129"/>
      <c r="E36" s="129"/>
      <c r="F36" s="129"/>
      <c r="G36" s="129"/>
      <c r="H36" s="129"/>
      <c r="I36" s="129"/>
      <c r="J36" s="130"/>
      <c r="K36" s="35"/>
    </row>
    <row r="37" spans="1:11" s="6" customFormat="1" ht="23.1" customHeight="1" x14ac:dyDescent="0.25">
      <c r="A37" s="167" t="s">
        <v>21</v>
      </c>
      <c r="B37" s="126"/>
      <c r="C37" s="126"/>
      <c r="D37" s="126"/>
      <c r="E37" s="126"/>
      <c r="F37" s="126"/>
      <c r="G37" s="126"/>
      <c r="H37" s="126"/>
      <c r="I37" s="126"/>
      <c r="J37" s="127"/>
      <c r="K37" s="35"/>
    </row>
    <row r="38" spans="1:11" s="6" customFormat="1" ht="38.25" customHeight="1" x14ac:dyDescent="0.25">
      <c r="A38" s="10" t="s">
        <v>22</v>
      </c>
      <c r="B38" s="168" t="s">
        <v>111</v>
      </c>
      <c r="C38" s="129"/>
      <c r="D38" s="129"/>
      <c r="E38" s="129"/>
      <c r="F38" s="129"/>
      <c r="G38" s="129"/>
      <c r="H38" s="129"/>
      <c r="I38" s="130"/>
      <c r="J38" s="7" t="s">
        <v>23</v>
      </c>
      <c r="K38" s="35"/>
    </row>
    <row r="39" spans="1:11" s="6" customFormat="1" ht="38.25" customHeight="1" x14ac:dyDescent="0.25">
      <c r="A39" s="10" t="s">
        <v>3</v>
      </c>
      <c r="B39" s="128" t="s">
        <v>112</v>
      </c>
      <c r="C39" s="129"/>
      <c r="D39" s="129"/>
      <c r="E39" s="129"/>
      <c r="F39" s="129"/>
      <c r="G39" s="129"/>
      <c r="H39" s="130"/>
      <c r="I39" s="11">
        <v>8.3299999999999999E-2</v>
      </c>
      <c r="J39" s="12">
        <f t="shared" ref="J39:J40" si="0">ROUND($J$34*I39,2)</f>
        <v>167.93</v>
      </c>
      <c r="K39" s="35"/>
    </row>
    <row r="40" spans="1:11" s="6" customFormat="1" ht="38.25" customHeight="1" x14ac:dyDescent="0.25">
      <c r="A40" s="10" t="s">
        <v>5</v>
      </c>
      <c r="B40" s="169" t="s">
        <v>113</v>
      </c>
      <c r="C40" s="129"/>
      <c r="D40" s="129"/>
      <c r="E40" s="129"/>
      <c r="F40" s="129"/>
      <c r="G40" s="129"/>
      <c r="H40" s="130"/>
      <c r="I40" s="13">
        <v>3.0249999999999999E-2</v>
      </c>
      <c r="J40" s="12">
        <f t="shared" si="0"/>
        <v>60.98</v>
      </c>
      <c r="K40" s="35"/>
    </row>
    <row r="41" spans="1:11" s="6" customFormat="1" ht="23.1" customHeight="1" x14ac:dyDescent="0.25">
      <c r="A41" s="170" t="s">
        <v>24</v>
      </c>
      <c r="B41" s="129"/>
      <c r="C41" s="129"/>
      <c r="D41" s="129"/>
      <c r="E41" s="129"/>
      <c r="F41" s="129"/>
      <c r="G41" s="129"/>
      <c r="H41" s="129"/>
      <c r="I41" s="130"/>
      <c r="J41" s="12">
        <f>SUM(J39+J40)</f>
        <v>228.91</v>
      </c>
      <c r="K41" s="35"/>
    </row>
    <row r="42" spans="1:11" s="6" customFormat="1" ht="23.1" customHeight="1" x14ac:dyDescent="0.25">
      <c r="A42" s="10" t="s">
        <v>7</v>
      </c>
      <c r="B42" s="168" t="s">
        <v>25</v>
      </c>
      <c r="C42" s="129"/>
      <c r="D42" s="129"/>
      <c r="E42" s="129"/>
      <c r="F42" s="129"/>
      <c r="G42" s="129"/>
      <c r="H42" s="129"/>
      <c r="I42" s="130"/>
      <c r="J42" s="9">
        <f>ROUND(I55*J41,2)</f>
        <v>84.24</v>
      </c>
      <c r="K42" s="35"/>
    </row>
    <row r="43" spans="1:11" s="6" customFormat="1" ht="23.1" customHeight="1" x14ac:dyDescent="0.25">
      <c r="A43" s="172" t="s">
        <v>24</v>
      </c>
      <c r="B43" s="126"/>
      <c r="C43" s="126"/>
      <c r="D43" s="126"/>
      <c r="E43" s="126"/>
      <c r="F43" s="126"/>
      <c r="G43" s="126"/>
      <c r="H43" s="126"/>
      <c r="I43" s="127"/>
      <c r="J43" s="37">
        <f>J41+J42</f>
        <v>313.14999999999998</v>
      </c>
      <c r="K43" s="35"/>
    </row>
    <row r="44" spans="1:11" s="6" customFormat="1" ht="23.1" customHeight="1" x14ac:dyDescent="0.25">
      <c r="A44" s="162"/>
      <c r="B44" s="129"/>
      <c r="C44" s="129"/>
      <c r="D44" s="129"/>
      <c r="E44" s="129"/>
      <c r="F44" s="129"/>
      <c r="G44" s="129"/>
      <c r="H44" s="129"/>
      <c r="I44" s="129"/>
      <c r="J44" s="129"/>
      <c r="K44" s="35"/>
    </row>
    <row r="45" spans="1:11" s="6" customFormat="1" ht="23.1" customHeight="1" x14ac:dyDescent="0.25">
      <c r="A45" s="128" t="s">
        <v>26</v>
      </c>
      <c r="B45" s="129"/>
      <c r="C45" s="129"/>
      <c r="D45" s="129"/>
      <c r="E45" s="129"/>
      <c r="F45" s="129"/>
      <c r="G45" s="129"/>
      <c r="H45" s="129"/>
      <c r="I45" s="129"/>
      <c r="J45" s="130"/>
      <c r="K45" s="35"/>
    </row>
    <row r="46" spans="1:11" s="6" customFormat="1" ht="23.1" customHeight="1" x14ac:dyDescent="0.25">
      <c r="A46" s="38" t="s">
        <v>27</v>
      </c>
      <c r="B46" s="173" t="s">
        <v>28</v>
      </c>
      <c r="C46" s="126"/>
      <c r="D46" s="126"/>
      <c r="E46" s="126"/>
      <c r="F46" s="126"/>
      <c r="G46" s="126"/>
      <c r="H46" s="127"/>
      <c r="I46" s="36" t="s">
        <v>29</v>
      </c>
      <c r="J46" s="36" t="s">
        <v>23</v>
      </c>
      <c r="K46" s="35"/>
    </row>
    <row r="47" spans="1:11" s="6" customFormat="1" ht="23.1" customHeight="1" x14ac:dyDescent="0.25">
      <c r="A47" s="10" t="s">
        <v>3</v>
      </c>
      <c r="B47" s="168" t="s">
        <v>30</v>
      </c>
      <c r="C47" s="129"/>
      <c r="D47" s="129"/>
      <c r="E47" s="129"/>
      <c r="F47" s="129"/>
      <c r="G47" s="129"/>
      <c r="H47" s="130"/>
      <c r="I47" s="80">
        <v>0.2</v>
      </c>
      <c r="J47" s="9">
        <f t="shared" ref="J47:J54" si="1">ROUND($J$34*I47,2)</f>
        <v>403.2</v>
      </c>
      <c r="K47" s="35"/>
    </row>
    <row r="48" spans="1:11" s="6" customFormat="1" ht="23.1" customHeight="1" x14ac:dyDescent="0.25">
      <c r="A48" s="10" t="s">
        <v>5</v>
      </c>
      <c r="B48" s="168" t="s">
        <v>31</v>
      </c>
      <c r="C48" s="129"/>
      <c r="D48" s="129"/>
      <c r="E48" s="129"/>
      <c r="F48" s="129"/>
      <c r="G48" s="129"/>
      <c r="H48" s="130"/>
      <c r="I48" s="80">
        <v>2.5000000000000001E-2</v>
      </c>
      <c r="J48" s="9">
        <f t="shared" si="1"/>
        <v>50.4</v>
      </c>
      <c r="K48" s="35"/>
    </row>
    <row r="49" spans="1:11" s="6" customFormat="1" ht="23.1" customHeight="1" x14ac:dyDescent="0.25">
      <c r="A49" s="10" t="s">
        <v>7</v>
      </c>
      <c r="B49" s="168" t="s">
        <v>32</v>
      </c>
      <c r="C49" s="129"/>
      <c r="D49" s="130"/>
      <c r="E49" s="15" t="s">
        <v>33</v>
      </c>
      <c r="F49" s="41">
        <v>0.03</v>
      </c>
      <c r="G49" s="15" t="s">
        <v>34</v>
      </c>
      <c r="H49" s="42">
        <v>1</v>
      </c>
      <c r="I49" s="16">
        <f>F49*H49</f>
        <v>0.03</v>
      </c>
      <c r="J49" s="9">
        <f>ROUND($J$34*I49,2)</f>
        <v>60.48</v>
      </c>
      <c r="K49" s="35"/>
    </row>
    <row r="50" spans="1:11" s="6" customFormat="1" ht="23.1" customHeight="1" x14ac:dyDescent="0.25">
      <c r="A50" s="10" t="s">
        <v>9</v>
      </c>
      <c r="B50" s="168" t="s">
        <v>35</v>
      </c>
      <c r="C50" s="129"/>
      <c r="D50" s="129"/>
      <c r="E50" s="129"/>
      <c r="F50" s="129"/>
      <c r="G50" s="129"/>
      <c r="H50" s="130"/>
      <c r="I50" s="80">
        <v>1.4999999999999999E-2</v>
      </c>
      <c r="J50" s="9">
        <f t="shared" si="1"/>
        <v>30.24</v>
      </c>
      <c r="K50" s="35"/>
    </row>
    <row r="51" spans="1:11" s="6" customFormat="1" ht="23.1" customHeight="1" x14ac:dyDescent="0.25">
      <c r="A51" s="10" t="s">
        <v>36</v>
      </c>
      <c r="B51" s="168" t="s">
        <v>37</v>
      </c>
      <c r="C51" s="129"/>
      <c r="D51" s="129"/>
      <c r="E51" s="129"/>
      <c r="F51" s="129"/>
      <c r="G51" s="129"/>
      <c r="H51" s="130"/>
      <c r="I51" s="80">
        <v>0.01</v>
      </c>
      <c r="J51" s="9">
        <f t="shared" si="1"/>
        <v>20.16</v>
      </c>
      <c r="K51" s="35"/>
    </row>
    <row r="52" spans="1:11" s="6" customFormat="1" ht="23.1" customHeight="1" x14ac:dyDescent="0.25">
      <c r="A52" s="10" t="s">
        <v>38</v>
      </c>
      <c r="B52" s="168" t="s">
        <v>39</v>
      </c>
      <c r="C52" s="129"/>
      <c r="D52" s="129"/>
      <c r="E52" s="129"/>
      <c r="F52" s="129"/>
      <c r="G52" s="129"/>
      <c r="H52" s="130"/>
      <c r="I52" s="80">
        <v>6.0000000000000001E-3</v>
      </c>
      <c r="J52" s="9">
        <f t="shared" si="1"/>
        <v>12.1</v>
      </c>
      <c r="K52" s="35"/>
    </row>
    <row r="53" spans="1:11" s="6" customFormat="1" ht="23.1" customHeight="1" x14ac:dyDescent="0.25">
      <c r="A53" s="10" t="s">
        <v>40</v>
      </c>
      <c r="B53" s="168" t="s">
        <v>41</v>
      </c>
      <c r="C53" s="129"/>
      <c r="D53" s="129"/>
      <c r="E53" s="129"/>
      <c r="F53" s="129"/>
      <c r="G53" s="129"/>
      <c r="H53" s="130"/>
      <c r="I53" s="80">
        <v>2E-3</v>
      </c>
      <c r="J53" s="9">
        <f t="shared" si="1"/>
        <v>4.03</v>
      </c>
      <c r="K53" s="35"/>
    </row>
    <row r="54" spans="1:11" s="6" customFormat="1" ht="23.1" customHeight="1" x14ac:dyDescent="0.25">
      <c r="A54" s="10" t="s">
        <v>42</v>
      </c>
      <c r="B54" s="168" t="s">
        <v>43</v>
      </c>
      <c r="C54" s="129"/>
      <c r="D54" s="129"/>
      <c r="E54" s="129"/>
      <c r="F54" s="129"/>
      <c r="G54" s="129"/>
      <c r="H54" s="130"/>
      <c r="I54" s="80">
        <v>0.08</v>
      </c>
      <c r="J54" s="9">
        <f t="shared" si="1"/>
        <v>161.28</v>
      </c>
      <c r="K54" s="35"/>
    </row>
    <row r="55" spans="1:11" s="6" customFormat="1" ht="23.1" customHeight="1" x14ac:dyDescent="0.25">
      <c r="A55" s="172" t="s">
        <v>24</v>
      </c>
      <c r="B55" s="126"/>
      <c r="C55" s="126"/>
      <c r="D55" s="126"/>
      <c r="E55" s="126"/>
      <c r="F55" s="126"/>
      <c r="G55" s="126"/>
      <c r="H55" s="127"/>
      <c r="I55" s="39">
        <f t="shared" ref="I55:J55" si="2">SUM(I47:I54)</f>
        <v>0.36800000000000005</v>
      </c>
      <c r="J55" s="37">
        <f t="shared" si="2"/>
        <v>741.88999999999987</v>
      </c>
      <c r="K55" s="35"/>
    </row>
    <row r="56" spans="1:11" s="6" customFormat="1" ht="23.1" customHeight="1" x14ac:dyDescent="0.25">
      <c r="A56" s="162"/>
      <c r="B56" s="129"/>
      <c r="C56" s="129"/>
      <c r="D56" s="129"/>
      <c r="E56" s="129"/>
      <c r="F56" s="129"/>
      <c r="G56" s="129"/>
      <c r="H56" s="129"/>
      <c r="I56" s="129"/>
      <c r="J56" s="129"/>
      <c r="K56" s="35"/>
    </row>
    <row r="57" spans="1:11" s="6" customFormat="1" ht="23.1" customHeight="1" x14ac:dyDescent="0.25">
      <c r="A57" s="128" t="s">
        <v>44</v>
      </c>
      <c r="B57" s="129"/>
      <c r="C57" s="129"/>
      <c r="D57" s="129"/>
      <c r="E57" s="129"/>
      <c r="F57" s="129"/>
      <c r="G57" s="129"/>
      <c r="H57" s="129"/>
      <c r="I57" s="129"/>
      <c r="J57" s="130"/>
      <c r="K57" s="35"/>
    </row>
    <row r="58" spans="1:11" s="6" customFormat="1" ht="23.1" customHeight="1" x14ac:dyDescent="0.25">
      <c r="A58" s="38" t="s">
        <v>45</v>
      </c>
      <c r="B58" s="173" t="s">
        <v>46</v>
      </c>
      <c r="C58" s="126"/>
      <c r="D58" s="126"/>
      <c r="E58" s="126"/>
      <c r="F58" s="126"/>
      <c r="G58" s="126"/>
      <c r="H58" s="126"/>
      <c r="I58" s="127"/>
      <c r="J58" s="36" t="s">
        <v>23</v>
      </c>
      <c r="K58" s="35"/>
    </row>
    <row r="59" spans="1:11" s="6" customFormat="1" ht="23.1" customHeight="1" x14ac:dyDescent="0.25">
      <c r="A59" s="10" t="s">
        <v>3</v>
      </c>
      <c r="B59" s="168" t="s">
        <v>207</v>
      </c>
      <c r="C59" s="129"/>
      <c r="D59" s="129"/>
      <c r="E59" s="129"/>
      <c r="F59" s="129"/>
      <c r="G59" s="129"/>
      <c r="H59" s="129"/>
      <c r="I59" s="130"/>
      <c r="J59" s="9">
        <f>IF(ROUND((I62*I60*I61)-(J26*0.06),2)&lt;0,0,ROUND((I62*I60*I61)-(J26*0.06),2))</f>
        <v>110.04</v>
      </c>
      <c r="K59" s="35"/>
    </row>
    <row r="60" spans="1:11" s="6" customFormat="1" ht="69.95" customHeight="1" x14ac:dyDescent="0.25">
      <c r="A60" s="10"/>
      <c r="B60" s="232" t="s">
        <v>203</v>
      </c>
      <c r="C60" s="233"/>
      <c r="D60" s="233"/>
      <c r="E60" s="233"/>
      <c r="F60" s="233"/>
      <c r="G60" s="233"/>
      <c r="H60" s="234"/>
      <c r="I60" s="116">
        <v>5.5</v>
      </c>
      <c r="J60" s="17"/>
      <c r="K60" s="35"/>
    </row>
    <row r="61" spans="1:11" s="6" customFormat="1" ht="23.1" customHeight="1" x14ac:dyDescent="0.25">
      <c r="A61" s="10"/>
      <c r="B61" s="235" t="s">
        <v>48</v>
      </c>
      <c r="C61" s="129"/>
      <c r="D61" s="129"/>
      <c r="E61" s="129"/>
      <c r="F61" s="129"/>
      <c r="G61" s="129"/>
      <c r="H61" s="130"/>
      <c r="I61" s="56">
        <v>2</v>
      </c>
      <c r="J61" s="17"/>
      <c r="K61" s="35"/>
    </row>
    <row r="62" spans="1:11" s="6" customFormat="1" ht="23.1" customHeight="1" x14ac:dyDescent="0.25">
      <c r="A62" s="10"/>
      <c r="B62" s="235" t="s">
        <v>49</v>
      </c>
      <c r="C62" s="129"/>
      <c r="D62" s="129"/>
      <c r="E62" s="129"/>
      <c r="F62" s="129"/>
      <c r="G62" s="129"/>
      <c r="H62" s="130"/>
      <c r="I62" s="56">
        <v>21</v>
      </c>
      <c r="J62" s="17"/>
      <c r="K62" s="35"/>
    </row>
    <row r="63" spans="1:11" s="6" customFormat="1" ht="23.1" customHeight="1" x14ac:dyDescent="0.25">
      <c r="A63" s="10" t="s">
        <v>5</v>
      </c>
      <c r="B63" s="168" t="s">
        <v>208</v>
      </c>
      <c r="C63" s="129"/>
      <c r="D63" s="129"/>
      <c r="E63" s="129"/>
      <c r="F63" s="129"/>
      <c r="G63" s="129"/>
      <c r="H63" s="129"/>
      <c r="I63" s="130"/>
      <c r="J63" s="9">
        <f>ROUND(I65*I64*(1-I66),2)</f>
        <v>187.11</v>
      </c>
      <c r="K63" s="35"/>
    </row>
    <row r="64" spans="1:11" s="6" customFormat="1" ht="69.95" customHeight="1" x14ac:dyDescent="0.25">
      <c r="A64" s="10"/>
      <c r="B64" s="232" t="s">
        <v>204</v>
      </c>
      <c r="C64" s="236"/>
      <c r="D64" s="236"/>
      <c r="E64" s="236"/>
      <c r="F64" s="236"/>
      <c r="G64" s="236"/>
      <c r="H64" s="237"/>
      <c r="I64" s="116">
        <v>11</v>
      </c>
      <c r="J64" s="17"/>
      <c r="K64" s="35"/>
    </row>
    <row r="65" spans="1:12" s="6" customFormat="1" ht="23.1" customHeight="1" x14ac:dyDescent="0.25">
      <c r="A65" s="18"/>
      <c r="B65" s="235" t="s">
        <v>51</v>
      </c>
      <c r="C65" s="129"/>
      <c r="D65" s="129"/>
      <c r="E65" s="129"/>
      <c r="F65" s="129"/>
      <c r="G65" s="129"/>
      <c r="H65" s="130"/>
      <c r="I65" s="56">
        <v>21</v>
      </c>
      <c r="J65" s="17"/>
      <c r="K65" s="35"/>
    </row>
    <row r="66" spans="1:12" s="6" customFormat="1" ht="60" customHeight="1" x14ac:dyDescent="0.25">
      <c r="A66" s="18"/>
      <c r="B66" s="232" t="s">
        <v>205</v>
      </c>
      <c r="C66" s="236"/>
      <c r="D66" s="236"/>
      <c r="E66" s="236"/>
      <c r="F66" s="236"/>
      <c r="G66" s="236"/>
      <c r="H66" s="237"/>
      <c r="I66" s="115">
        <v>0.19</v>
      </c>
      <c r="J66" s="17"/>
      <c r="K66" s="35"/>
    </row>
    <row r="67" spans="1:12" s="6" customFormat="1" ht="22.5" customHeight="1" x14ac:dyDescent="0.25">
      <c r="A67" s="10" t="s">
        <v>7</v>
      </c>
      <c r="B67" s="128" t="s">
        <v>52</v>
      </c>
      <c r="C67" s="129"/>
      <c r="D67" s="129"/>
      <c r="E67" s="129"/>
      <c r="F67" s="129"/>
      <c r="G67" s="129"/>
      <c r="H67" s="129"/>
      <c r="I67" s="130"/>
      <c r="J67" s="43">
        <v>2.5</v>
      </c>
      <c r="K67" s="35"/>
    </row>
    <row r="68" spans="1:12" s="6" customFormat="1" ht="69.95" customHeight="1" x14ac:dyDescent="0.25">
      <c r="A68" s="10" t="s">
        <v>9</v>
      </c>
      <c r="B68" s="238" t="s">
        <v>206</v>
      </c>
      <c r="C68" s="233"/>
      <c r="D68" s="233"/>
      <c r="E68" s="233"/>
      <c r="F68" s="233"/>
      <c r="G68" s="233"/>
      <c r="H68" s="233"/>
      <c r="I68" s="234"/>
      <c r="J68" s="114">
        <v>18.5</v>
      </c>
      <c r="K68" s="35"/>
    </row>
    <row r="69" spans="1:12" s="6" customFormat="1" ht="23.1" customHeight="1" x14ac:dyDescent="0.25">
      <c r="A69" s="172" t="s">
        <v>19</v>
      </c>
      <c r="B69" s="126"/>
      <c r="C69" s="126"/>
      <c r="D69" s="126"/>
      <c r="E69" s="126"/>
      <c r="F69" s="126"/>
      <c r="G69" s="126"/>
      <c r="H69" s="126"/>
      <c r="I69" s="127"/>
      <c r="J69" s="37">
        <f>SUM(J59:J68)</f>
        <v>318.15000000000003</v>
      </c>
      <c r="K69" s="35"/>
    </row>
    <row r="70" spans="1:12" s="6" customFormat="1" ht="23.1" customHeight="1" x14ac:dyDescent="0.25">
      <c r="A70" s="162"/>
      <c r="B70" s="129"/>
      <c r="C70" s="129"/>
      <c r="D70" s="129"/>
      <c r="E70" s="129"/>
      <c r="F70" s="129"/>
      <c r="G70" s="129"/>
      <c r="H70" s="129"/>
      <c r="I70" s="129"/>
      <c r="J70" s="129"/>
      <c r="K70" s="35"/>
    </row>
    <row r="71" spans="1:12" s="6" customFormat="1" ht="23.1" customHeight="1" x14ac:dyDescent="0.25">
      <c r="A71" s="128" t="s">
        <v>54</v>
      </c>
      <c r="B71" s="129"/>
      <c r="C71" s="129"/>
      <c r="D71" s="129"/>
      <c r="E71" s="129"/>
      <c r="F71" s="129"/>
      <c r="G71" s="129"/>
      <c r="H71" s="129"/>
      <c r="I71" s="129"/>
      <c r="J71" s="130"/>
      <c r="K71" s="35"/>
    </row>
    <row r="72" spans="1:12" s="6" customFormat="1" ht="23.1" customHeight="1" x14ac:dyDescent="0.25">
      <c r="A72" s="36">
        <v>2</v>
      </c>
      <c r="B72" s="142" t="s">
        <v>55</v>
      </c>
      <c r="C72" s="126"/>
      <c r="D72" s="126"/>
      <c r="E72" s="126"/>
      <c r="F72" s="126"/>
      <c r="G72" s="126"/>
      <c r="H72" s="126"/>
      <c r="I72" s="127"/>
      <c r="J72" s="36" t="s">
        <v>23</v>
      </c>
      <c r="K72" s="35"/>
    </row>
    <row r="73" spans="1:12" s="6" customFormat="1" ht="23.1" customHeight="1" x14ac:dyDescent="0.25">
      <c r="A73" s="7" t="s">
        <v>22</v>
      </c>
      <c r="B73" s="143" t="s">
        <v>110</v>
      </c>
      <c r="C73" s="144"/>
      <c r="D73" s="144"/>
      <c r="E73" s="144"/>
      <c r="F73" s="144"/>
      <c r="G73" s="144"/>
      <c r="H73" s="144"/>
      <c r="I73" s="145"/>
      <c r="J73" s="8">
        <f>J43</f>
        <v>313.14999999999998</v>
      </c>
      <c r="K73" s="35"/>
    </row>
    <row r="74" spans="1:12" s="6" customFormat="1" ht="23.1" customHeight="1" x14ac:dyDescent="0.25">
      <c r="A74" s="7" t="s">
        <v>27</v>
      </c>
      <c r="B74" s="119" t="s">
        <v>28</v>
      </c>
      <c r="C74" s="165"/>
      <c r="D74" s="165"/>
      <c r="E74" s="165"/>
      <c r="F74" s="165"/>
      <c r="G74" s="165"/>
      <c r="H74" s="165"/>
      <c r="I74" s="121"/>
      <c r="J74" s="8">
        <f>J55</f>
        <v>741.88999999999987</v>
      </c>
      <c r="K74" s="35"/>
    </row>
    <row r="75" spans="1:12" s="6" customFormat="1" ht="23.1" customHeight="1" x14ac:dyDescent="0.25">
      <c r="A75" s="7" t="s">
        <v>45</v>
      </c>
      <c r="B75" s="119" t="s">
        <v>46</v>
      </c>
      <c r="C75" s="165"/>
      <c r="D75" s="165"/>
      <c r="E75" s="165"/>
      <c r="F75" s="165"/>
      <c r="G75" s="165"/>
      <c r="H75" s="165"/>
      <c r="I75" s="121"/>
      <c r="J75" s="8">
        <f>J69</f>
        <v>318.15000000000003</v>
      </c>
      <c r="K75" s="35"/>
    </row>
    <row r="76" spans="1:12" s="6" customFormat="1" ht="23.1" customHeight="1" x14ac:dyDescent="0.25">
      <c r="A76" s="171" t="s">
        <v>24</v>
      </c>
      <c r="B76" s="126"/>
      <c r="C76" s="126"/>
      <c r="D76" s="126"/>
      <c r="E76" s="126"/>
      <c r="F76" s="126"/>
      <c r="G76" s="126"/>
      <c r="H76" s="126"/>
      <c r="I76" s="127"/>
      <c r="J76" s="40">
        <f>SUM(J73+J74+J75)</f>
        <v>1373.19</v>
      </c>
      <c r="K76" s="35"/>
    </row>
    <row r="77" spans="1:12" s="6" customFormat="1" ht="23.1" customHeight="1" x14ac:dyDescent="0.25">
      <c r="A77" s="162"/>
      <c r="B77" s="129"/>
      <c r="C77" s="129"/>
      <c r="D77" s="129"/>
      <c r="E77" s="129"/>
      <c r="F77" s="129"/>
      <c r="G77" s="129"/>
      <c r="H77" s="129"/>
      <c r="I77" s="129"/>
      <c r="J77" s="129"/>
      <c r="K77" s="35"/>
    </row>
    <row r="78" spans="1:12" s="6" customFormat="1" ht="23.1" customHeight="1" x14ac:dyDescent="0.25">
      <c r="A78" s="128" t="s">
        <v>56</v>
      </c>
      <c r="B78" s="129"/>
      <c r="C78" s="129"/>
      <c r="D78" s="129"/>
      <c r="E78" s="129"/>
      <c r="F78" s="129"/>
      <c r="G78" s="129"/>
      <c r="H78" s="129"/>
      <c r="I78" s="129"/>
      <c r="J78" s="130"/>
      <c r="K78" s="35"/>
    </row>
    <row r="79" spans="1:12" s="6" customFormat="1" ht="23.1" customHeight="1" x14ac:dyDescent="0.25">
      <c r="A79" s="38">
        <v>3</v>
      </c>
      <c r="B79" s="142" t="s">
        <v>57</v>
      </c>
      <c r="C79" s="126"/>
      <c r="D79" s="126"/>
      <c r="E79" s="126"/>
      <c r="F79" s="126"/>
      <c r="G79" s="126"/>
      <c r="H79" s="126"/>
      <c r="I79" s="127"/>
      <c r="J79" s="36" t="s">
        <v>23</v>
      </c>
      <c r="K79" s="35"/>
    </row>
    <row r="80" spans="1:12" s="6" customFormat="1" ht="60" customHeight="1" x14ac:dyDescent="0.25">
      <c r="A80" s="10" t="s">
        <v>3</v>
      </c>
      <c r="B80" s="128" t="s">
        <v>114</v>
      </c>
      <c r="C80" s="129"/>
      <c r="D80" s="129"/>
      <c r="E80" s="129"/>
      <c r="F80" s="129"/>
      <c r="G80" s="129"/>
      <c r="H80" s="129"/>
      <c r="I80" s="130"/>
      <c r="J80" s="9">
        <f>ROUND((($J$34/12)+($J$39/12)+($J$34/12/12)+($J$40/12))*(30/30)*0.05,2)</f>
        <v>10.050000000000001</v>
      </c>
      <c r="K80" s="35"/>
      <c r="L80" s="19"/>
    </row>
    <row r="81" spans="1:12" s="6" customFormat="1" ht="22.5" customHeight="1" x14ac:dyDescent="0.25">
      <c r="A81" s="10" t="s">
        <v>5</v>
      </c>
      <c r="B81" s="128" t="s">
        <v>58</v>
      </c>
      <c r="C81" s="129"/>
      <c r="D81" s="129"/>
      <c r="E81" s="129"/>
      <c r="F81" s="129"/>
      <c r="G81" s="129"/>
      <c r="H81" s="129"/>
      <c r="I81" s="130"/>
      <c r="J81" s="9">
        <f>ROUND($J$80*I54,2)</f>
        <v>0.8</v>
      </c>
      <c r="K81" s="35"/>
    </row>
    <row r="82" spans="1:12" s="6" customFormat="1" ht="60" customHeight="1" x14ac:dyDescent="0.25">
      <c r="A82" s="10" t="s">
        <v>7</v>
      </c>
      <c r="B82" s="128" t="s">
        <v>115</v>
      </c>
      <c r="C82" s="129"/>
      <c r="D82" s="129"/>
      <c r="E82" s="129"/>
      <c r="F82" s="129"/>
      <c r="G82" s="129"/>
      <c r="H82" s="130"/>
      <c r="I82" s="20">
        <v>1.9E-3</v>
      </c>
      <c r="J82" s="9">
        <f>ROUND($J$34*I82,2)</f>
        <v>3.83</v>
      </c>
      <c r="K82" s="35"/>
    </row>
    <row r="83" spans="1:12" s="6" customFormat="1" ht="60" customHeight="1" x14ac:dyDescent="0.25">
      <c r="A83" s="10" t="s">
        <v>9</v>
      </c>
      <c r="B83" s="128" t="s">
        <v>195</v>
      </c>
      <c r="C83" s="129"/>
      <c r="D83" s="129"/>
      <c r="E83" s="129"/>
      <c r="F83" s="129"/>
      <c r="G83" s="129"/>
      <c r="H83" s="129"/>
      <c r="I83" s="130"/>
      <c r="J83" s="108">
        <f>ROUND(((($J$34/30)*7)/$G$11)*0.1,2)</f>
        <v>0.78</v>
      </c>
      <c r="K83" s="35"/>
      <c r="L83" s="19"/>
    </row>
    <row r="84" spans="1:12" s="6" customFormat="1" ht="22.5" customHeight="1" x14ac:dyDescent="0.25">
      <c r="A84" s="10" t="s">
        <v>36</v>
      </c>
      <c r="B84" s="128" t="s">
        <v>59</v>
      </c>
      <c r="C84" s="129"/>
      <c r="D84" s="129"/>
      <c r="E84" s="129"/>
      <c r="F84" s="129"/>
      <c r="G84" s="129"/>
      <c r="H84" s="129"/>
      <c r="I84" s="130"/>
      <c r="J84" s="9">
        <f>ROUND($I$55*J83,2)</f>
        <v>0.28999999999999998</v>
      </c>
      <c r="K84" s="35"/>
    </row>
    <row r="85" spans="1:12" s="6" customFormat="1" ht="60" customHeight="1" x14ac:dyDescent="0.25">
      <c r="A85" s="10" t="s">
        <v>38</v>
      </c>
      <c r="B85" s="128" t="s">
        <v>117</v>
      </c>
      <c r="C85" s="129"/>
      <c r="D85" s="129"/>
      <c r="E85" s="129"/>
      <c r="F85" s="129"/>
      <c r="G85" s="129"/>
      <c r="H85" s="130"/>
      <c r="I85" s="20">
        <v>3.8100000000000002E-2</v>
      </c>
      <c r="J85" s="9">
        <f>ROUND($J$34*I85,2)</f>
        <v>76.81</v>
      </c>
      <c r="K85" s="35"/>
    </row>
    <row r="86" spans="1:12" s="6" customFormat="1" ht="23.1" customHeight="1" x14ac:dyDescent="0.25">
      <c r="A86" s="172" t="s">
        <v>24</v>
      </c>
      <c r="B86" s="126"/>
      <c r="C86" s="126"/>
      <c r="D86" s="126"/>
      <c r="E86" s="126"/>
      <c r="F86" s="126"/>
      <c r="G86" s="126"/>
      <c r="H86" s="126"/>
      <c r="I86" s="127"/>
      <c r="J86" s="37">
        <f>SUM(J80:J85)</f>
        <v>92.56</v>
      </c>
      <c r="K86" s="35"/>
    </row>
    <row r="87" spans="1:12" s="6" customFormat="1" ht="23.1" customHeight="1" x14ac:dyDescent="0.25">
      <c r="A87" s="162"/>
      <c r="B87" s="129"/>
      <c r="C87" s="129"/>
      <c r="D87" s="129"/>
      <c r="E87" s="129"/>
      <c r="F87" s="129"/>
      <c r="G87" s="129"/>
      <c r="H87" s="129"/>
      <c r="I87" s="129"/>
      <c r="J87" s="129"/>
      <c r="K87" s="35"/>
    </row>
    <row r="88" spans="1:12" s="6" customFormat="1" ht="23.1" customHeight="1" x14ac:dyDescent="0.25">
      <c r="A88" s="128" t="s">
        <v>60</v>
      </c>
      <c r="B88" s="129"/>
      <c r="C88" s="129"/>
      <c r="D88" s="129"/>
      <c r="E88" s="129"/>
      <c r="F88" s="129"/>
      <c r="G88" s="129"/>
      <c r="H88" s="129"/>
      <c r="I88" s="129"/>
      <c r="J88" s="130"/>
      <c r="K88" s="35"/>
    </row>
    <row r="89" spans="1:12" s="6" customFormat="1" ht="23.1" customHeight="1" x14ac:dyDescent="0.25">
      <c r="A89" s="176" t="s">
        <v>61</v>
      </c>
      <c r="B89" s="129"/>
      <c r="C89" s="129"/>
      <c r="D89" s="129"/>
      <c r="E89" s="129"/>
      <c r="F89" s="129"/>
      <c r="G89" s="129"/>
      <c r="H89" s="129"/>
      <c r="I89" s="130"/>
      <c r="J89" s="8">
        <f>J92+J34+J39+J40</f>
        <v>2244.91</v>
      </c>
      <c r="K89" s="35"/>
    </row>
    <row r="90" spans="1:12" s="6" customFormat="1" ht="23.1" customHeight="1" x14ac:dyDescent="0.25">
      <c r="A90" s="157"/>
      <c r="B90" s="158"/>
      <c r="C90" s="158"/>
      <c r="D90" s="158"/>
      <c r="E90" s="158"/>
      <c r="F90" s="158"/>
      <c r="G90" s="158"/>
      <c r="H90" s="158"/>
      <c r="I90" s="158"/>
      <c r="J90" s="159"/>
      <c r="K90" s="35"/>
    </row>
    <row r="91" spans="1:12" s="6" customFormat="1" ht="23.1" customHeight="1" x14ac:dyDescent="0.25">
      <c r="A91" s="38" t="s">
        <v>62</v>
      </c>
      <c r="B91" s="173" t="s">
        <v>63</v>
      </c>
      <c r="C91" s="126"/>
      <c r="D91" s="126"/>
      <c r="E91" s="126"/>
      <c r="F91" s="126"/>
      <c r="G91" s="126"/>
      <c r="H91" s="126"/>
      <c r="I91" s="127"/>
      <c r="J91" s="36" t="s">
        <v>23</v>
      </c>
      <c r="K91" s="35"/>
    </row>
    <row r="92" spans="1:12" s="6" customFormat="1" ht="23.1" customHeight="1" x14ac:dyDescent="0.25">
      <c r="A92" s="10" t="s">
        <v>3</v>
      </c>
      <c r="B92" s="128" t="s">
        <v>64</v>
      </c>
      <c r="C92" s="129"/>
      <c r="D92" s="129"/>
      <c r="E92" s="129"/>
      <c r="F92" s="129"/>
      <c r="G92" s="129"/>
      <c r="H92" s="130"/>
      <c r="I92" s="13">
        <v>0</v>
      </c>
      <c r="J92" s="9">
        <f>ROUND(($J$34*I92),2)</f>
        <v>0</v>
      </c>
      <c r="K92" s="35"/>
    </row>
    <row r="93" spans="1:12" s="6" customFormat="1" ht="23.1" customHeight="1" x14ac:dyDescent="0.25">
      <c r="A93" s="10" t="s">
        <v>5</v>
      </c>
      <c r="B93" s="168" t="s">
        <v>118</v>
      </c>
      <c r="C93" s="129"/>
      <c r="D93" s="129"/>
      <c r="E93" s="129"/>
      <c r="F93" s="129"/>
      <c r="G93" s="129"/>
      <c r="H93" s="129"/>
      <c r="I93" s="130"/>
      <c r="J93" s="9">
        <f>ROUND((($J$89/30)*2.96)/12,2)</f>
        <v>18.46</v>
      </c>
      <c r="K93" s="35"/>
    </row>
    <row r="94" spans="1:12" s="6" customFormat="1" ht="23.1" customHeight="1" x14ac:dyDescent="0.25">
      <c r="A94" s="10" t="s">
        <v>7</v>
      </c>
      <c r="B94" s="168" t="s">
        <v>119</v>
      </c>
      <c r="C94" s="129"/>
      <c r="D94" s="129"/>
      <c r="E94" s="129"/>
      <c r="F94" s="129"/>
      <c r="G94" s="129"/>
      <c r="H94" s="129"/>
      <c r="I94" s="130"/>
      <c r="J94" s="9">
        <f>ROUND((($J$89/30)*5)/12*0.015,2)</f>
        <v>0.47</v>
      </c>
      <c r="K94" s="35"/>
    </row>
    <row r="95" spans="1:12" s="6" customFormat="1" ht="23.1" customHeight="1" x14ac:dyDescent="0.25">
      <c r="A95" s="10" t="s">
        <v>9</v>
      </c>
      <c r="B95" s="168" t="s">
        <v>120</v>
      </c>
      <c r="C95" s="129"/>
      <c r="D95" s="129"/>
      <c r="E95" s="129"/>
      <c r="F95" s="129"/>
      <c r="G95" s="129"/>
      <c r="H95" s="129"/>
      <c r="I95" s="130"/>
      <c r="J95" s="9">
        <f>ROUND(((($J$89/30)*15)/12)*0.0078,2)</f>
        <v>0.73</v>
      </c>
      <c r="K95" s="35"/>
    </row>
    <row r="96" spans="1:12" s="6" customFormat="1" ht="23.1" customHeight="1" x14ac:dyDescent="0.25">
      <c r="A96" s="10" t="s">
        <v>36</v>
      </c>
      <c r="B96" s="168" t="s">
        <v>121</v>
      </c>
      <c r="C96" s="129"/>
      <c r="D96" s="129"/>
      <c r="E96" s="129"/>
      <c r="F96" s="129"/>
      <c r="G96" s="129"/>
      <c r="H96" s="129"/>
      <c r="I96" s="130"/>
      <c r="J96" s="9">
        <f>ROUND(((($J$34+$J$34/3)*4/12)/12)*0.02,2)</f>
        <v>1.49</v>
      </c>
      <c r="K96" s="35"/>
    </row>
    <row r="97" spans="1:11" s="6" customFormat="1" ht="23.1" customHeight="1" x14ac:dyDescent="0.25">
      <c r="A97" s="21" t="s">
        <v>38</v>
      </c>
      <c r="B97" s="177" t="s">
        <v>122</v>
      </c>
      <c r="C97" s="129"/>
      <c r="D97" s="129"/>
      <c r="E97" s="129"/>
      <c r="F97" s="129"/>
      <c r="G97" s="129"/>
      <c r="H97" s="129"/>
      <c r="I97" s="130"/>
      <c r="J97" s="9">
        <f>ROUND(((($J$89/30)*5)/12),2)</f>
        <v>31.18</v>
      </c>
      <c r="K97" s="35"/>
    </row>
    <row r="98" spans="1:11" s="6" customFormat="1" ht="23.1" customHeight="1" x14ac:dyDescent="0.25">
      <c r="A98" s="172" t="s">
        <v>24</v>
      </c>
      <c r="B98" s="126"/>
      <c r="C98" s="126"/>
      <c r="D98" s="126"/>
      <c r="E98" s="126"/>
      <c r="F98" s="126"/>
      <c r="G98" s="126"/>
      <c r="H98" s="126"/>
      <c r="I98" s="127"/>
      <c r="J98" s="37">
        <f>SUM(J92:J97)</f>
        <v>52.33</v>
      </c>
      <c r="K98" s="35"/>
    </row>
    <row r="99" spans="1:11" s="6" customFormat="1" ht="23.1" customHeight="1" x14ac:dyDescent="0.25">
      <c r="A99" s="10" t="s">
        <v>40</v>
      </c>
      <c r="B99" s="168" t="s">
        <v>65</v>
      </c>
      <c r="C99" s="129"/>
      <c r="D99" s="129"/>
      <c r="E99" s="129"/>
      <c r="F99" s="129"/>
      <c r="G99" s="129"/>
      <c r="H99" s="129"/>
      <c r="I99" s="130"/>
      <c r="J99" s="9">
        <f>ROUND(I55*J98,2)</f>
        <v>19.260000000000002</v>
      </c>
      <c r="K99" s="35"/>
    </row>
    <row r="100" spans="1:11" s="6" customFormat="1" ht="23.1" customHeight="1" x14ac:dyDescent="0.25">
      <c r="A100" s="172" t="s">
        <v>24</v>
      </c>
      <c r="B100" s="126"/>
      <c r="C100" s="126"/>
      <c r="D100" s="126"/>
      <c r="E100" s="126"/>
      <c r="F100" s="126"/>
      <c r="G100" s="126"/>
      <c r="H100" s="126"/>
      <c r="I100" s="127"/>
      <c r="J100" s="37">
        <f>SUM(J98:J99)</f>
        <v>71.59</v>
      </c>
      <c r="K100" s="35"/>
    </row>
    <row r="101" spans="1:11" s="6" customFormat="1" ht="23.1" customHeight="1" x14ac:dyDescent="0.25">
      <c r="A101" s="128" t="s">
        <v>66</v>
      </c>
      <c r="B101" s="129"/>
      <c r="C101" s="129"/>
      <c r="D101" s="129"/>
      <c r="E101" s="129"/>
      <c r="F101" s="129"/>
      <c r="G101" s="129"/>
      <c r="H101" s="129"/>
      <c r="I101" s="129"/>
      <c r="J101" s="130"/>
      <c r="K101" s="35"/>
    </row>
    <row r="102" spans="1:11" s="6" customFormat="1" ht="23.1" customHeight="1" x14ac:dyDescent="0.25">
      <c r="A102" s="38" t="s">
        <v>67</v>
      </c>
      <c r="B102" s="173" t="s">
        <v>68</v>
      </c>
      <c r="C102" s="126"/>
      <c r="D102" s="126"/>
      <c r="E102" s="126"/>
      <c r="F102" s="126"/>
      <c r="G102" s="126"/>
      <c r="H102" s="126"/>
      <c r="I102" s="127"/>
      <c r="J102" s="36" t="s">
        <v>23</v>
      </c>
      <c r="K102" s="35"/>
    </row>
    <row r="103" spans="1:11" s="6" customFormat="1" ht="23.1" customHeight="1" x14ac:dyDescent="0.25">
      <c r="A103" s="10" t="s">
        <v>3</v>
      </c>
      <c r="B103" s="168" t="s">
        <v>69</v>
      </c>
      <c r="C103" s="129"/>
      <c r="D103" s="129"/>
      <c r="E103" s="129"/>
      <c r="F103" s="129"/>
      <c r="G103" s="129"/>
      <c r="H103" s="129"/>
      <c r="I103" s="130"/>
      <c r="J103" s="9">
        <v>0</v>
      </c>
      <c r="K103" s="35"/>
    </row>
    <row r="104" spans="1:11" s="6" customFormat="1" ht="23.1" customHeight="1" x14ac:dyDescent="0.25">
      <c r="A104" s="178" t="s">
        <v>24</v>
      </c>
      <c r="B104" s="129"/>
      <c r="C104" s="129"/>
      <c r="D104" s="129"/>
      <c r="E104" s="129"/>
      <c r="F104" s="129"/>
      <c r="G104" s="129"/>
      <c r="H104" s="129"/>
      <c r="I104" s="130"/>
      <c r="J104" s="9">
        <v>0</v>
      </c>
      <c r="K104" s="35"/>
    </row>
    <row r="105" spans="1:11" s="6" customFormat="1" ht="23.1" customHeight="1" x14ac:dyDescent="0.25">
      <c r="A105" s="10" t="s">
        <v>5</v>
      </c>
      <c r="B105" s="168" t="s">
        <v>70</v>
      </c>
      <c r="C105" s="129"/>
      <c r="D105" s="129"/>
      <c r="E105" s="129"/>
      <c r="F105" s="129"/>
      <c r="G105" s="129"/>
      <c r="H105" s="129"/>
      <c r="I105" s="130"/>
      <c r="J105" s="9">
        <f>ROUND(I55*J104,2)</f>
        <v>0</v>
      </c>
      <c r="K105" s="35"/>
    </row>
    <row r="106" spans="1:11" s="6" customFormat="1" ht="23.1" customHeight="1" x14ac:dyDescent="0.25">
      <c r="A106" s="172" t="s">
        <v>24</v>
      </c>
      <c r="B106" s="126"/>
      <c r="C106" s="126"/>
      <c r="D106" s="126"/>
      <c r="E106" s="126"/>
      <c r="F106" s="126"/>
      <c r="G106" s="126"/>
      <c r="H106" s="126"/>
      <c r="I106" s="127"/>
      <c r="J106" s="37">
        <f>SUM(J104:J105)</f>
        <v>0</v>
      </c>
      <c r="K106" s="35"/>
    </row>
    <row r="107" spans="1:11" s="6" customFormat="1" ht="23.1" customHeight="1" x14ac:dyDescent="0.25">
      <c r="A107" s="162"/>
      <c r="B107" s="129"/>
      <c r="C107" s="129"/>
      <c r="D107" s="129"/>
      <c r="E107" s="129"/>
      <c r="F107" s="129"/>
      <c r="G107" s="129"/>
      <c r="H107" s="129"/>
      <c r="I107" s="129"/>
      <c r="J107" s="129"/>
      <c r="K107" s="35"/>
    </row>
    <row r="108" spans="1:11" s="6" customFormat="1" ht="23.1" customHeight="1" x14ac:dyDescent="0.25">
      <c r="A108" s="128" t="s">
        <v>71</v>
      </c>
      <c r="B108" s="129"/>
      <c r="C108" s="129"/>
      <c r="D108" s="129"/>
      <c r="E108" s="129"/>
      <c r="F108" s="129"/>
      <c r="G108" s="129"/>
      <c r="H108" s="129"/>
      <c r="I108" s="129"/>
      <c r="J108" s="130"/>
      <c r="K108" s="35"/>
    </row>
    <row r="109" spans="1:11" s="6" customFormat="1" ht="23.1" customHeight="1" x14ac:dyDescent="0.25">
      <c r="A109" s="36">
        <v>4</v>
      </c>
      <c r="B109" s="142" t="s">
        <v>72</v>
      </c>
      <c r="C109" s="126"/>
      <c r="D109" s="126"/>
      <c r="E109" s="126"/>
      <c r="F109" s="126"/>
      <c r="G109" s="126"/>
      <c r="H109" s="126"/>
      <c r="I109" s="127"/>
      <c r="J109" s="36" t="s">
        <v>23</v>
      </c>
      <c r="K109" s="35"/>
    </row>
    <row r="110" spans="1:11" s="6" customFormat="1" ht="23.1" customHeight="1" x14ac:dyDescent="0.25">
      <c r="A110" s="7" t="s">
        <v>62</v>
      </c>
      <c r="B110" s="128" t="s">
        <v>63</v>
      </c>
      <c r="C110" s="129"/>
      <c r="D110" s="129"/>
      <c r="E110" s="129"/>
      <c r="F110" s="129"/>
      <c r="G110" s="129"/>
      <c r="H110" s="129"/>
      <c r="I110" s="130"/>
      <c r="J110" s="9">
        <f>J100</f>
        <v>71.59</v>
      </c>
      <c r="K110" s="35"/>
    </row>
    <row r="111" spans="1:11" s="6" customFormat="1" ht="23.1" customHeight="1" x14ac:dyDescent="0.25">
      <c r="A111" s="7" t="s">
        <v>73</v>
      </c>
      <c r="B111" s="128" t="s">
        <v>68</v>
      </c>
      <c r="C111" s="129"/>
      <c r="D111" s="129"/>
      <c r="E111" s="129"/>
      <c r="F111" s="129"/>
      <c r="G111" s="129"/>
      <c r="H111" s="129"/>
      <c r="I111" s="130"/>
      <c r="J111" s="9">
        <f>J106</f>
        <v>0</v>
      </c>
      <c r="K111" s="35"/>
    </row>
    <row r="112" spans="1:11" s="6" customFormat="1" ht="23.1" customHeight="1" x14ac:dyDescent="0.25">
      <c r="A112" s="171" t="s">
        <v>24</v>
      </c>
      <c r="B112" s="126"/>
      <c r="C112" s="126"/>
      <c r="D112" s="126"/>
      <c r="E112" s="126"/>
      <c r="F112" s="126"/>
      <c r="G112" s="126"/>
      <c r="H112" s="126"/>
      <c r="I112" s="127"/>
      <c r="J112" s="37">
        <f>SUM(J110+J111)</f>
        <v>71.59</v>
      </c>
      <c r="K112" s="35"/>
    </row>
    <row r="113" spans="1:23" s="6" customFormat="1" ht="23.1" customHeight="1" x14ac:dyDescent="0.25">
      <c r="A113" s="162"/>
      <c r="B113" s="129"/>
      <c r="C113" s="129"/>
      <c r="D113" s="129"/>
      <c r="E113" s="129"/>
      <c r="F113" s="129"/>
      <c r="G113" s="129"/>
      <c r="H113" s="129"/>
      <c r="I113" s="129"/>
      <c r="J113" s="129"/>
      <c r="K113" s="35"/>
    </row>
    <row r="114" spans="1:23" s="6" customFormat="1" ht="23.1" customHeight="1" x14ac:dyDescent="0.25">
      <c r="A114" s="128" t="s">
        <v>74</v>
      </c>
      <c r="B114" s="129"/>
      <c r="C114" s="129"/>
      <c r="D114" s="129"/>
      <c r="E114" s="129"/>
      <c r="F114" s="129"/>
      <c r="G114" s="129"/>
      <c r="H114" s="129"/>
      <c r="I114" s="129"/>
      <c r="J114" s="130"/>
      <c r="K114" s="35"/>
    </row>
    <row r="115" spans="1:23" s="6" customFormat="1" ht="23.1" customHeight="1" x14ac:dyDescent="0.25">
      <c r="A115" s="38">
        <v>5</v>
      </c>
      <c r="B115" s="173" t="s">
        <v>75</v>
      </c>
      <c r="C115" s="126"/>
      <c r="D115" s="126"/>
      <c r="E115" s="126"/>
      <c r="F115" s="126"/>
      <c r="G115" s="126"/>
      <c r="H115" s="126"/>
      <c r="I115" s="127"/>
      <c r="J115" s="36" t="s">
        <v>23</v>
      </c>
      <c r="K115" s="35"/>
    </row>
    <row r="116" spans="1:23" s="6" customFormat="1" ht="23.1" customHeight="1" x14ac:dyDescent="0.25">
      <c r="A116" s="10" t="s">
        <v>3</v>
      </c>
      <c r="B116" s="168" t="s">
        <v>76</v>
      </c>
      <c r="C116" s="129"/>
      <c r="D116" s="129"/>
      <c r="E116" s="129"/>
      <c r="F116" s="129"/>
      <c r="G116" s="129"/>
      <c r="H116" s="129"/>
      <c r="I116" s="130"/>
      <c r="J116" s="67">
        <f>'INSUMOS - PF'!K7</f>
        <v>2.4900000000000002</v>
      </c>
      <c r="K116" s="35"/>
    </row>
    <row r="117" spans="1:23" s="6" customFormat="1" ht="23.1" customHeight="1" x14ac:dyDescent="0.25">
      <c r="A117" s="10" t="s">
        <v>5</v>
      </c>
      <c r="B117" s="168" t="s">
        <v>77</v>
      </c>
      <c r="C117" s="129"/>
      <c r="D117" s="129"/>
      <c r="E117" s="129"/>
      <c r="F117" s="129"/>
      <c r="G117" s="129"/>
      <c r="H117" s="129"/>
      <c r="I117" s="130"/>
      <c r="J117" s="68">
        <f>'INSUMOS - PF'!K15</f>
        <v>0</v>
      </c>
      <c r="K117" s="35"/>
    </row>
    <row r="118" spans="1:23" s="6" customFormat="1" ht="23.1" customHeight="1" x14ac:dyDescent="0.25">
      <c r="A118" s="10" t="s">
        <v>7</v>
      </c>
      <c r="B118" s="168" t="s">
        <v>78</v>
      </c>
      <c r="C118" s="129"/>
      <c r="D118" s="129"/>
      <c r="E118" s="129"/>
      <c r="F118" s="129"/>
      <c r="G118" s="129"/>
      <c r="H118" s="129"/>
      <c r="I118" s="130"/>
      <c r="J118" s="68">
        <f>'INSUMOS - PF'!K23</f>
        <v>7.59</v>
      </c>
      <c r="K118" s="35"/>
    </row>
    <row r="119" spans="1:23" s="6" customFormat="1" ht="23.1" customHeight="1" x14ac:dyDescent="0.25">
      <c r="A119" s="10" t="s">
        <v>9</v>
      </c>
      <c r="B119" s="239" t="s">
        <v>127</v>
      </c>
      <c r="C119" s="229"/>
      <c r="D119" s="229"/>
      <c r="E119" s="229"/>
      <c r="F119" s="229"/>
      <c r="G119" s="229"/>
      <c r="H119" s="229"/>
      <c r="I119" s="230"/>
      <c r="J119" s="54"/>
      <c r="K119" s="35"/>
    </row>
    <row r="120" spans="1:23" s="6" customFormat="1" ht="23.1" customHeight="1" x14ac:dyDescent="0.25">
      <c r="A120" s="172" t="s">
        <v>19</v>
      </c>
      <c r="B120" s="126"/>
      <c r="C120" s="126"/>
      <c r="D120" s="126"/>
      <c r="E120" s="126"/>
      <c r="F120" s="126"/>
      <c r="G120" s="126"/>
      <c r="H120" s="126"/>
      <c r="I120" s="127"/>
      <c r="J120" s="40">
        <f>SUM(J116:J119)</f>
        <v>10.08</v>
      </c>
      <c r="K120" s="35"/>
    </row>
    <row r="121" spans="1:23" s="6" customFormat="1" ht="23.1" customHeight="1" x14ac:dyDescent="0.25">
      <c r="A121" s="162"/>
      <c r="B121" s="129"/>
      <c r="C121" s="129"/>
      <c r="D121" s="129"/>
      <c r="E121" s="129"/>
      <c r="F121" s="129"/>
      <c r="G121" s="129"/>
      <c r="H121" s="129"/>
      <c r="I121" s="129"/>
      <c r="J121" s="129"/>
      <c r="K121" s="35"/>
    </row>
    <row r="122" spans="1:23" s="6" customFormat="1" ht="23.1" customHeight="1" x14ac:dyDescent="0.25">
      <c r="A122" s="128" t="s">
        <v>80</v>
      </c>
      <c r="B122" s="129"/>
      <c r="C122" s="129"/>
      <c r="D122" s="129"/>
      <c r="E122" s="129"/>
      <c r="F122" s="129"/>
      <c r="G122" s="129"/>
      <c r="H122" s="129"/>
      <c r="I122" s="129"/>
      <c r="J122" s="130"/>
      <c r="K122" s="35"/>
      <c r="R122" s="1"/>
      <c r="S122" s="1"/>
      <c r="T122" s="1"/>
      <c r="U122" s="1"/>
      <c r="V122" s="1"/>
    </row>
    <row r="123" spans="1:23" s="6" customFormat="1" ht="23.1" customHeight="1" x14ac:dyDescent="0.25">
      <c r="A123" s="38">
        <v>6</v>
      </c>
      <c r="B123" s="173" t="s">
        <v>81</v>
      </c>
      <c r="C123" s="126"/>
      <c r="D123" s="126"/>
      <c r="E123" s="126"/>
      <c r="F123" s="126"/>
      <c r="G123" s="126"/>
      <c r="H123" s="127"/>
      <c r="I123" s="36" t="s">
        <v>29</v>
      </c>
      <c r="J123" s="36" t="s">
        <v>23</v>
      </c>
      <c r="K123" s="35"/>
      <c r="R123" s="1"/>
      <c r="S123" s="1"/>
      <c r="T123" s="1"/>
      <c r="U123" s="1"/>
      <c r="V123" s="1"/>
    </row>
    <row r="124" spans="1:23" s="6" customFormat="1" ht="23.1" customHeight="1" x14ac:dyDescent="0.25">
      <c r="A124" s="174" t="s">
        <v>82</v>
      </c>
      <c r="B124" s="129"/>
      <c r="C124" s="129"/>
      <c r="D124" s="129"/>
      <c r="E124" s="129"/>
      <c r="F124" s="129"/>
      <c r="G124" s="129"/>
      <c r="H124" s="130"/>
      <c r="I124" s="22" t="s">
        <v>47</v>
      </c>
      <c r="J124" s="23">
        <f>SUM(J34+J76+J86+J112+J120)</f>
        <v>3563.42</v>
      </c>
      <c r="K124" s="35"/>
      <c r="R124" s="2"/>
      <c r="S124" s="3"/>
      <c r="T124" s="3"/>
      <c r="U124" s="3"/>
      <c r="V124" s="1"/>
    </row>
    <row r="125" spans="1:23" s="6" customFormat="1" ht="23.1" customHeight="1" x14ac:dyDescent="0.25">
      <c r="A125" s="10" t="s">
        <v>3</v>
      </c>
      <c r="B125" s="168" t="s">
        <v>83</v>
      </c>
      <c r="C125" s="129"/>
      <c r="D125" s="129"/>
      <c r="E125" s="129"/>
      <c r="F125" s="129"/>
      <c r="G125" s="129"/>
      <c r="H125" s="130"/>
      <c r="I125" s="48">
        <v>0.05</v>
      </c>
      <c r="J125" s="9">
        <f>ROUND(I125*J124,2)</f>
        <v>178.17</v>
      </c>
      <c r="K125" s="35"/>
      <c r="N125" s="19"/>
      <c r="R125" s="4"/>
      <c r="S125" s="3"/>
      <c r="T125" s="3"/>
      <c r="U125" s="3"/>
      <c r="V125" s="1"/>
    </row>
    <row r="126" spans="1:23" s="6" customFormat="1" ht="23.1" customHeight="1" x14ac:dyDescent="0.25">
      <c r="A126" s="174" t="s">
        <v>84</v>
      </c>
      <c r="B126" s="129"/>
      <c r="C126" s="129"/>
      <c r="D126" s="129"/>
      <c r="E126" s="129"/>
      <c r="F126" s="129"/>
      <c r="G126" s="129"/>
      <c r="H126" s="130"/>
      <c r="I126" s="24" t="s">
        <v>47</v>
      </c>
      <c r="J126" s="23">
        <f>SUM(J34+J76+J86+J112+J120+J125)</f>
        <v>3741.59</v>
      </c>
      <c r="K126" s="35"/>
      <c r="N126" s="19"/>
      <c r="R126" s="2"/>
      <c r="S126" s="3"/>
      <c r="T126" s="3"/>
      <c r="U126" s="3"/>
      <c r="V126" s="3"/>
      <c r="W126" s="25"/>
    </row>
    <row r="127" spans="1:23" s="6" customFormat="1" ht="23.1" customHeight="1" x14ac:dyDescent="0.25">
      <c r="A127" s="10" t="s">
        <v>5</v>
      </c>
      <c r="B127" s="168" t="s">
        <v>85</v>
      </c>
      <c r="C127" s="129"/>
      <c r="D127" s="129"/>
      <c r="E127" s="129"/>
      <c r="F127" s="129"/>
      <c r="G127" s="129"/>
      <c r="H127" s="130"/>
      <c r="I127" s="47">
        <v>6.7900000000000002E-2</v>
      </c>
      <c r="J127" s="9">
        <f>ROUND(I127*J126,2)</f>
        <v>254.05</v>
      </c>
      <c r="K127" s="35"/>
      <c r="R127" s="2"/>
      <c r="S127" s="3"/>
      <c r="T127" s="3"/>
      <c r="U127" s="3"/>
      <c r="V127" s="3"/>
      <c r="W127" s="25"/>
    </row>
    <row r="128" spans="1:23" s="6" customFormat="1" ht="23.1" customHeight="1" x14ac:dyDescent="0.25">
      <c r="A128" s="174" t="s">
        <v>86</v>
      </c>
      <c r="B128" s="129"/>
      <c r="C128" s="129"/>
      <c r="D128" s="129"/>
      <c r="E128" s="129"/>
      <c r="F128" s="129"/>
      <c r="G128" s="129"/>
      <c r="H128" s="130"/>
      <c r="I128" s="24" t="s">
        <v>47</v>
      </c>
      <c r="J128" s="23">
        <f>SUM(J34+J76+J86+J112+J120+J125+J127)</f>
        <v>3995.6400000000003</v>
      </c>
      <c r="K128" s="35"/>
      <c r="R128" s="2"/>
      <c r="S128" s="3"/>
      <c r="T128" s="3"/>
      <c r="U128" s="3"/>
      <c r="V128" s="3"/>
      <c r="W128" s="25"/>
    </row>
    <row r="129" spans="1:23" s="6" customFormat="1" ht="23.1" customHeight="1" x14ac:dyDescent="0.25">
      <c r="A129" s="10" t="s">
        <v>7</v>
      </c>
      <c r="B129" s="168" t="s">
        <v>87</v>
      </c>
      <c r="C129" s="129"/>
      <c r="D129" s="129"/>
      <c r="E129" s="129"/>
      <c r="F129" s="129"/>
      <c r="G129" s="129"/>
      <c r="H129" s="130"/>
      <c r="I129" s="11" t="s">
        <v>47</v>
      </c>
      <c r="J129" s="17" t="s">
        <v>47</v>
      </c>
      <c r="K129" s="35"/>
      <c r="R129" s="2"/>
      <c r="S129" s="3"/>
      <c r="T129" s="3"/>
      <c r="U129" s="3"/>
      <c r="V129" s="3"/>
      <c r="W129" s="25"/>
    </row>
    <row r="130" spans="1:23" s="6" customFormat="1" ht="23.1" customHeight="1" x14ac:dyDescent="0.25">
      <c r="A130" s="10"/>
      <c r="B130" s="168" t="s">
        <v>88</v>
      </c>
      <c r="C130" s="129"/>
      <c r="D130" s="129"/>
      <c r="E130" s="129"/>
      <c r="F130" s="129"/>
      <c r="G130" s="129"/>
      <c r="H130" s="130"/>
      <c r="I130" s="11" t="s">
        <v>47</v>
      </c>
      <c r="J130" s="17" t="s">
        <v>47</v>
      </c>
      <c r="K130" s="35"/>
      <c r="R130" s="2"/>
      <c r="S130" s="3"/>
      <c r="T130" s="3"/>
      <c r="U130" s="3"/>
      <c r="V130" s="3"/>
      <c r="W130" s="25"/>
    </row>
    <row r="131" spans="1:23" s="6" customFormat="1" ht="23.1" customHeight="1" x14ac:dyDescent="0.25">
      <c r="A131" s="10"/>
      <c r="B131" s="168" t="s">
        <v>123</v>
      </c>
      <c r="C131" s="129"/>
      <c r="D131" s="129"/>
      <c r="E131" s="129"/>
      <c r="F131" s="129"/>
      <c r="G131" s="129"/>
      <c r="H131" s="130"/>
      <c r="I131" s="44">
        <v>7.5999999999999998E-2</v>
      </c>
      <c r="J131" s="9">
        <f t="shared" ref="J131:J132" si="3">ROUND(($J$128/(1-$I$140))*I131,2)</f>
        <v>342.16</v>
      </c>
      <c r="K131" s="35"/>
      <c r="R131" s="4"/>
      <c r="S131" s="3"/>
      <c r="T131" s="3"/>
      <c r="U131" s="3"/>
      <c r="V131" s="3"/>
      <c r="W131" s="25"/>
    </row>
    <row r="132" spans="1:23" s="6" customFormat="1" ht="23.1" customHeight="1" x14ac:dyDescent="0.25">
      <c r="A132" s="10"/>
      <c r="B132" s="168" t="s">
        <v>124</v>
      </c>
      <c r="C132" s="129"/>
      <c r="D132" s="129"/>
      <c r="E132" s="129"/>
      <c r="F132" s="129"/>
      <c r="G132" s="129"/>
      <c r="H132" s="130"/>
      <c r="I132" s="44">
        <v>1.6500000000000001E-2</v>
      </c>
      <c r="J132" s="9">
        <f t="shared" si="3"/>
        <v>74.290000000000006</v>
      </c>
      <c r="K132" s="35"/>
      <c r="R132" s="2"/>
      <c r="S132" s="3"/>
      <c r="T132" s="3"/>
      <c r="U132" s="3"/>
      <c r="V132" s="3"/>
      <c r="W132" s="25"/>
    </row>
    <row r="133" spans="1:23" s="6" customFormat="1" ht="23.1" customHeight="1" x14ac:dyDescent="0.25">
      <c r="A133" s="10"/>
      <c r="B133" s="128" t="s">
        <v>89</v>
      </c>
      <c r="C133" s="129"/>
      <c r="D133" s="129"/>
      <c r="E133" s="129"/>
      <c r="F133" s="129"/>
      <c r="G133" s="129"/>
      <c r="H133" s="130"/>
      <c r="I133" s="26" t="s">
        <v>47</v>
      </c>
      <c r="J133" s="17" t="s">
        <v>47</v>
      </c>
      <c r="K133" s="35"/>
      <c r="R133" s="4"/>
      <c r="S133" s="3"/>
      <c r="T133" s="3"/>
      <c r="U133" s="3"/>
      <c r="V133" s="3"/>
      <c r="W133" s="25"/>
    </row>
    <row r="134" spans="1:23" s="6" customFormat="1" ht="23.1" customHeight="1" x14ac:dyDescent="0.25">
      <c r="A134" s="10"/>
      <c r="B134" s="128" t="s">
        <v>90</v>
      </c>
      <c r="C134" s="129"/>
      <c r="D134" s="129"/>
      <c r="E134" s="129"/>
      <c r="F134" s="129"/>
      <c r="G134" s="129"/>
      <c r="H134" s="130"/>
      <c r="I134" s="26" t="s">
        <v>47</v>
      </c>
      <c r="J134" s="17" t="s">
        <v>47</v>
      </c>
      <c r="K134" s="35"/>
      <c r="R134" s="1"/>
      <c r="S134" s="3"/>
      <c r="T134" s="3"/>
      <c r="U134" s="3"/>
      <c r="V134" s="3"/>
      <c r="W134" s="25"/>
    </row>
    <row r="135" spans="1:23" s="6" customFormat="1" ht="23.1" customHeight="1" x14ac:dyDescent="0.25">
      <c r="A135" s="10"/>
      <c r="B135" s="168" t="s">
        <v>91</v>
      </c>
      <c r="C135" s="129"/>
      <c r="D135" s="129"/>
      <c r="E135" s="129"/>
      <c r="F135" s="129"/>
      <c r="G135" s="129"/>
      <c r="H135" s="130"/>
      <c r="I135" s="26" t="s">
        <v>47</v>
      </c>
      <c r="J135" s="17" t="s">
        <v>47</v>
      </c>
      <c r="K135" s="35"/>
      <c r="R135" s="1"/>
      <c r="S135" s="3"/>
      <c r="T135" s="3"/>
      <c r="U135" s="3"/>
      <c r="V135" s="3"/>
      <c r="W135" s="25"/>
    </row>
    <row r="136" spans="1:23" s="6" customFormat="1" ht="23.1" customHeight="1" x14ac:dyDescent="0.25">
      <c r="A136" s="10"/>
      <c r="B136" s="168" t="s">
        <v>92</v>
      </c>
      <c r="C136" s="129"/>
      <c r="D136" s="129"/>
      <c r="E136" s="129"/>
      <c r="F136" s="129"/>
      <c r="G136" s="129"/>
      <c r="H136" s="130"/>
      <c r="I136" s="26" t="s">
        <v>47</v>
      </c>
      <c r="J136" s="17" t="s">
        <v>47</v>
      </c>
      <c r="K136" s="35"/>
    </row>
    <row r="137" spans="1:23" s="6" customFormat="1" ht="23.1" customHeight="1" x14ac:dyDescent="0.25">
      <c r="A137" s="10"/>
      <c r="B137" s="168" t="s">
        <v>125</v>
      </c>
      <c r="C137" s="129"/>
      <c r="D137" s="129"/>
      <c r="E137" s="129"/>
      <c r="F137" s="129"/>
      <c r="G137" s="129"/>
      <c r="H137" s="130"/>
      <c r="I137" s="113">
        <v>0.02</v>
      </c>
      <c r="J137" s="9">
        <f>ROUND(($J$128/(1-$I$140))*I137,2)</f>
        <v>90.04</v>
      </c>
      <c r="K137" s="35"/>
    </row>
    <row r="138" spans="1:23" s="6" customFormat="1" ht="23.1" customHeight="1" x14ac:dyDescent="0.25">
      <c r="A138" s="172" t="s">
        <v>24</v>
      </c>
      <c r="B138" s="126"/>
      <c r="C138" s="126"/>
      <c r="D138" s="126"/>
      <c r="E138" s="126"/>
      <c r="F138" s="126"/>
      <c r="G138" s="126"/>
      <c r="H138" s="126"/>
      <c r="I138" s="127"/>
      <c r="J138" s="37">
        <f>SUM(J125+J127+J131+J132+J137)</f>
        <v>938.71</v>
      </c>
      <c r="K138" s="35"/>
    </row>
    <row r="139" spans="1:23" s="6" customFormat="1" ht="23.1" customHeight="1" x14ac:dyDescent="0.25">
      <c r="A139" s="162"/>
      <c r="B139" s="129"/>
      <c r="C139" s="129"/>
      <c r="D139" s="129"/>
      <c r="E139" s="129"/>
      <c r="F139" s="129"/>
      <c r="G139" s="129"/>
      <c r="H139" s="129"/>
      <c r="I139" s="129"/>
      <c r="J139" s="129"/>
      <c r="K139" s="35"/>
    </row>
    <row r="140" spans="1:23" s="6" customFormat="1" ht="23.1" customHeight="1" x14ac:dyDescent="0.25">
      <c r="A140" s="185" t="s">
        <v>93</v>
      </c>
      <c r="B140" s="129"/>
      <c r="C140" s="129"/>
      <c r="D140" s="129"/>
      <c r="E140" s="129"/>
      <c r="F140" s="129"/>
      <c r="G140" s="129"/>
      <c r="H140" s="130"/>
      <c r="I140" s="27">
        <f t="shared" ref="I140:J140" si="4">SUM(I131:I137)</f>
        <v>0.1125</v>
      </c>
      <c r="J140" s="23">
        <f t="shared" si="4"/>
        <v>506.49000000000007</v>
      </c>
      <c r="K140" s="35"/>
    </row>
    <row r="141" spans="1:23" s="6" customFormat="1" ht="23.1" customHeight="1" x14ac:dyDescent="0.25">
      <c r="A141" s="186" t="s">
        <v>94</v>
      </c>
      <c r="B141" s="187"/>
      <c r="C141" s="188"/>
      <c r="D141" s="193" t="s">
        <v>95</v>
      </c>
      <c r="E141" s="194"/>
      <c r="F141" s="194"/>
      <c r="G141" s="194"/>
      <c r="H141" s="194"/>
      <c r="I141" s="194"/>
      <c r="J141" s="195"/>
      <c r="K141" s="35"/>
    </row>
    <row r="142" spans="1:23" s="6" customFormat="1" ht="23.1" customHeight="1" x14ac:dyDescent="0.25">
      <c r="A142" s="189"/>
      <c r="B142" s="190"/>
      <c r="C142" s="191"/>
      <c r="D142" s="196" t="s">
        <v>96</v>
      </c>
      <c r="E142" s="197"/>
      <c r="F142" s="197"/>
      <c r="G142" s="197"/>
      <c r="H142" s="197"/>
      <c r="I142" s="197"/>
      <c r="J142" s="198"/>
      <c r="K142" s="35"/>
    </row>
    <row r="143" spans="1:23" s="6" customFormat="1" ht="23.1" customHeight="1" x14ac:dyDescent="0.25">
      <c r="A143" s="192"/>
      <c r="B143" s="158"/>
      <c r="C143" s="159"/>
      <c r="D143" s="199" t="s">
        <v>97</v>
      </c>
      <c r="E143" s="200"/>
      <c r="F143" s="200"/>
      <c r="G143" s="200"/>
      <c r="H143" s="200"/>
      <c r="I143" s="200"/>
      <c r="J143" s="201"/>
      <c r="K143" s="35"/>
    </row>
    <row r="144" spans="1:23" s="6" customFormat="1" ht="23.1" customHeight="1" x14ac:dyDescent="0.25">
      <c r="A144" s="162"/>
      <c r="B144" s="129"/>
      <c r="C144" s="129"/>
      <c r="D144" s="129"/>
      <c r="E144" s="129"/>
      <c r="F144" s="129"/>
      <c r="G144" s="129"/>
      <c r="H144" s="129"/>
      <c r="I144" s="129"/>
      <c r="J144" s="129"/>
      <c r="K144" s="35"/>
    </row>
    <row r="145" spans="1:11" s="6" customFormat="1" ht="23.1" customHeight="1" x14ac:dyDescent="0.25">
      <c r="A145" s="181" t="s">
        <v>133</v>
      </c>
      <c r="B145" s="182"/>
      <c r="C145" s="182"/>
      <c r="D145" s="182"/>
      <c r="E145" s="182"/>
      <c r="F145" s="182"/>
      <c r="G145" s="182"/>
      <c r="H145" s="182"/>
      <c r="I145" s="182"/>
      <c r="J145" s="183"/>
      <c r="K145" s="35"/>
    </row>
    <row r="146" spans="1:11" s="6" customFormat="1" ht="23.1" customHeight="1" x14ac:dyDescent="0.25">
      <c r="A146" s="184" t="s">
        <v>98</v>
      </c>
      <c r="B146" s="126"/>
      <c r="C146" s="126"/>
      <c r="D146" s="126"/>
      <c r="E146" s="126"/>
      <c r="F146" s="126"/>
      <c r="G146" s="126"/>
      <c r="H146" s="126"/>
      <c r="I146" s="127"/>
      <c r="J146" s="36" t="s">
        <v>23</v>
      </c>
      <c r="K146" s="35"/>
    </row>
    <row r="147" spans="1:11" s="6" customFormat="1" ht="23.1" customHeight="1" x14ac:dyDescent="0.25">
      <c r="A147" s="28" t="s">
        <v>3</v>
      </c>
      <c r="B147" s="179" t="s">
        <v>99</v>
      </c>
      <c r="C147" s="129"/>
      <c r="D147" s="129"/>
      <c r="E147" s="129"/>
      <c r="F147" s="129"/>
      <c r="G147" s="129"/>
      <c r="H147" s="129"/>
      <c r="I147" s="130"/>
      <c r="J147" s="8">
        <f>J34</f>
        <v>2016</v>
      </c>
      <c r="K147" s="35"/>
    </row>
    <row r="148" spans="1:11" s="6" customFormat="1" ht="23.1" customHeight="1" x14ac:dyDescent="0.25">
      <c r="A148" s="28" t="s">
        <v>5</v>
      </c>
      <c r="B148" s="179" t="s">
        <v>20</v>
      </c>
      <c r="C148" s="129"/>
      <c r="D148" s="129"/>
      <c r="E148" s="129"/>
      <c r="F148" s="129"/>
      <c r="G148" s="129"/>
      <c r="H148" s="129"/>
      <c r="I148" s="130"/>
      <c r="J148" s="8">
        <f>J76</f>
        <v>1373.19</v>
      </c>
      <c r="K148" s="35"/>
    </row>
    <row r="149" spans="1:11" s="6" customFormat="1" ht="23.1" customHeight="1" x14ac:dyDescent="0.25">
      <c r="A149" s="28" t="s">
        <v>7</v>
      </c>
      <c r="B149" s="179" t="s">
        <v>100</v>
      </c>
      <c r="C149" s="129"/>
      <c r="D149" s="129"/>
      <c r="E149" s="129"/>
      <c r="F149" s="129"/>
      <c r="G149" s="129"/>
      <c r="H149" s="129"/>
      <c r="I149" s="130"/>
      <c r="J149" s="8">
        <f>J86</f>
        <v>92.56</v>
      </c>
      <c r="K149" s="35"/>
    </row>
    <row r="150" spans="1:11" s="6" customFormat="1" ht="23.1" customHeight="1" x14ac:dyDescent="0.25">
      <c r="A150" s="28" t="s">
        <v>9</v>
      </c>
      <c r="B150" s="179" t="s">
        <v>101</v>
      </c>
      <c r="C150" s="129"/>
      <c r="D150" s="129"/>
      <c r="E150" s="129"/>
      <c r="F150" s="129"/>
      <c r="G150" s="129"/>
      <c r="H150" s="129"/>
      <c r="I150" s="130"/>
      <c r="J150" s="8">
        <f>J112</f>
        <v>71.59</v>
      </c>
      <c r="K150" s="35"/>
    </row>
    <row r="151" spans="1:11" s="6" customFormat="1" ht="23.1" customHeight="1" x14ac:dyDescent="0.25">
      <c r="A151" s="28" t="s">
        <v>36</v>
      </c>
      <c r="B151" s="179" t="s">
        <v>102</v>
      </c>
      <c r="C151" s="129"/>
      <c r="D151" s="129"/>
      <c r="E151" s="129"/>
      <c r="F151" s="129"/>
      <c r="G151" s="129"/>
      <c r="H151" s="129"/>
      <c r="I151" s="130"/>
      <c r="J151" s="8">
        <f>J120</f>
        <v>10.08</v>
      </c>
      <c r="K151" s="35"/>
    </row>
    <row r="152" spans="1:11" s="6" customFormat="1" ht="23.1" customHeight="1" x14ac:dyDescent="0.25">
      <c r="A152" s="180" t="s">
        <v>103</v>
      </c>
      <c r="B152" s="126"/>
      <c r="C152" s="126"/>
      <c r="D152" s="126"/>
      <c r="E152" s="126"/>
      <c r="F152" s="126"/>
      <c r="G152" s="126"/>
      <c r="H152" s="126"/>
      <c r="I152" s="127"/>
      <c r="J152" s="40">
        <f>SUM(J147:J151)</f>
        <v>3563.42</v>
      </c>
      <c r="K152" s="35"/>
    </row>
    <row r="153" spans="1:11" s="6" customFormat="1" ht="23.1" customHeight="1" x14ac:dyDescent="0.25">
      <c r="A153" s="28" t="s">
        <v>38</v>
      </c>
      <c r="B153" s="179" t="s">
        <v>104</v>
      </c>
      <c r="C153" s="129"/>
      <c r="D153" s="129"/>
      <c r="E153" s="129"/>
      <c r="F153" s="129"/>
      <c r="G153" s="129"/>
      <c r="H153" s="129"/>
      <c r="I153" s="130"/>
      <c r="J153" s="8">
        <f>J138</f>
        <v>938.71</v>
      </c>
      <c r="K153" s="35"/>
    </row>
    <row r="154" spans="1:11" s="6" customFormat="1" ht="48.75" customHeight="1" x14ac:dyDescent="0.25">
      <c r="A154" s="180" t="s">
        <v>105</v>
      </c>
      <c r="B154" s="126"/>
      <c r="C154" s="126"/>
      <c r="D154" s="126"/>
      <c r="E154" s="126"/>
      <c r="F154" s="126"/>
      <c r="G154" s="126"/>
      <c r="H154" s="126"/>
      <c r="I154" s="127"/>
      <c r="J154" s="40">
        <f>SUM(J152:J153)</f>
        <v>4502.13</v>
      </c>
      <c r="K154" s="35"/>
    </row>
    <row r="155" spans="1:11" ht="44.25" hidden="1" customHeight="1" x14ac:dyDescent="0.25"/>
    <row r="156" spans="1:11" ht="44.25" hidden="1" customHeight="1" x14ac:dyDescent="0.25"/>
    <row r="157" spans="1:11" ht="44.25" hidden="1" customHeight="1" x14ac:dyDescent="0.25"/>
  </sheetData>
  <mergeCells count="168">
    <mergeCell ref="B150:I150"/>
    <mergeCell ref="B151:I151"/>
    <mergeCell ref="A152:I152"/>
    <mergeCell ref="B153:I153"/>
    <mergeCell ref="A154:I154"/>
    <mergeCell ref="B30:H30"/>
    <mergeCell ref="B31:H31"/>
    <mergeCell ref="B32:H32"/>
    <mergeCell ref="B73:I73"/>
    <mergeCell ref="B74:I74"/>
    <mergeCell ref="A144:J144"/>
    <mergeCell ref="A145:J145"/>
    <mergeCell ref="A146:I146"/>
    <mergeCell ref="B147:I147"/>
    <mergeCell ref="B148:I148"/>
    <mergeCell ref="B149:I149"/>
    <mergeCell ref="A138:I138"/>
    <mergeCell ref="A139:J139"/>
    <mergeCell ref="A140:H140"/>
    <mergeCell ref="A141:C143"/>
    <mergeCell ref="D141:J141"/>
    <mergeCell ref="D142:J142"/>
    <mergeCell ref="D143:J143"/>
    <mergeCell ref="B132:H132"/>
    <mergeCell ref="B133:H133"/>
    <mergeCell ref="B134:H134"/>
    <mergeCell ref="B135:H135"/>
    <mergeCell ref="B136:H136"/>
    <mergeCell ref="B137:H137"/>
    <mergeCell ref="A126:H126"/>
    <mergeCell ref="B127:H127"/>
    <mergeCell ref="A128:H128"/>
    <mergeCell ref="B129:H129"/>
    <mergeCell ref="B130:H130"/>
    <mergeCell ref="B131:H131"/>
    <mergeCell ref="A120:I120"/>
    <mergeCell ref="A121:J121"/>
    <mergeCell ref="A122:J122"/>
    <mergeCell ref="B123:H123"/>
    <mergeCell ref="A124:H124"/>
    <mergeCell ref="B125:H125"/>
    <mergeCell ref="A114:J114"/>
    <mergeCell ref="B115:I115"/>
    <mergeCell ref="B116:I116"/>
    <mergeCell ref="B117:I117"/>
    <mergeCell ref="B118:I118"/>
    <mergeCell ref="B119:I119"/>
    <mergeCell ref="A108:J108"/>
    <mergeCell ref="B109:I109"/>
    <mergeCell ref="B110:I110"/>
    <mergeCell ref="B111:I111"/>
    <mergeCell ref="A112:I112"/>
    <mergeCell ref="A113:J113"/>
    <mergeCell ref="B102:I102"/>
    <mergeCell ref="B103:I103"/>
    <mergeCell ref="A104:I104"/>
    <mergeCell ref="B105:I105"/>
    <mergeCell ref="A106:I106"/>
    <mergeCell ref="A107:J107"/>
    <mergeCell ref="B96:I96"/>
    <mergeCell ref="B97:I97"/>
    <mergeCell ref="A98:I98"/>
    <mergeCell ref="B99:I99"/>
    <mergeCell ref="A100:I100"/>
    <mergeCell ref="A101:J101"/>
    <mergeCell ref="A90:J90"/>
    <mergeCell ref="B91:I91"/>
    <mergeCell ref="B92:H92"/>
    <mergeCell ref="B93:I93"/>
    <mergeCell ref="B94:I94"/>
    <mergeCell ref="B95:I95"/>
    <mergeCell ref="B84:I84"/>
    <mergeCell ref="B85:H85"/>
    <mergeCell ref="A86:I86"/>
    <mergeCell ref="A87:J87"/>
    <mergeCell ref="A88:J88"/>
    <mergeCell ref="A89:I89"/>
    <mergeCell ref="A78:J78"/>
    <mergeCell ref="B79:I79"/>
    <mergeCell ref="B80:I80"/>
    <mergeCell ref="B81:I81"/>
    <mergeCell ref="B82:H82"/>
    <mergeCell ref="B83:I83"/>
    <mergeCell ref="B72:I72"/>
    <mergeCell ref="A76:I76"/>
    <mergeCell ref="A77:J77"/>
    <mergeCell ref="B75:I75"/>
    <mergeCell ref="B66:H66"/>
    <mergeCell ref="B67:I67"/>
    <mergeCell ref="B68:I68"/>
    <mergeCell ref="A69:I69"/>
    <mergeCell ref="A70:J70"/>
    <mergeCell ref="A71:J71"/>
    <mergeCell ref="B60:H60"/>
    <mergeCell ref="B61:H61"/>
    <mergeCell ref="B62:H62"/>
    <mergeCell ref="B63:I63"/>
    <mergeCell ref="B64:H64"/>
    <mergeCell ref="B65:H65"/>
    <mergeCell ref="B54:H54"/>
    <mergeCell ref="A55:H55"/>
    <mergeCell ref="A56:J56"/>
    <mergeCell ref="A57:J57"/>
    <mergeCell ref="B58:I58"/>
    <mergeCell ref="B59:I59"/>
    <mergeCell ref="B48:H48"/>
    <mergeCell ref="B49:D49"/>
    <mergeCell ref="B50:H50"/>
    <mergeCell ref="B51:H51"/>
    <mergeCell ref="B52:H52"/>
    <mergeCell ref="B53:H53"/>
    <mergeCell ref="B42:I42"/>
    <mergeCell ref="A43:I43"/>
    <mergeCell ref="A44:J44"/>
    <mergeCell ref="A45:J45"/>
    <mergeCell ref="B46:H46"/>
    <mergeCell ref="B47:H47"/>
    <mergeCell ref="A36:J36"/>
    <mergeCell ref="A37:J37"/>
    <mergeCell ref="B38:I38"/>
    <mergeCell ref="B39:H39"/>
    <mergeCell ref="B40:H40"/>
    <mergeCell ref="A41:I41"/>
    <mergeCell ref="B27:H27"/>
    <mergeCell ref="B28:H28"/>
    <mergeCell ref="B29:H29"/>
    <mergeCell ref="B33:H33"/>
    <mergeCell ref="A34:I34"/>
    <mergeCell ref="A35:J35"/>
    <mergeCell ref="B22:H22"/>
    <mergeCell ref="I22:J22"/>
    <mergeCell ref="A23:J23"/>
    <mergeCell ref="A24:J24"/>
    <mergeCell ref="B25:H25"/>
    <mergeCell ref="B26:G26"/>
    <mergeCell ref="B19:H19"/>
    <mergeCell ref="I19:J19"/>
    <mergeCell ref="B20:H20"/>
    <mergeCell ref="I20:J20"/>
    <mergeCell ref="B21:H21"/>
    <mergeCell ref="I21:J21"/>
    <mergeCell ref="A15:J15"/>
    <mergeCell ref="B16:H16"/>
    <mergeCell ref="I16:J16"/>
    <mergeCell ref="B17:H17"/>
    <mergeCell ref="I17:J17"/>
    <mergeCell ref="B18:H18"/>
    <mergeCell ref="I18:J18"/>
    <mergeCell ref="A13:J13"/>
    <mergeCell ref="A14:J14"/>
    <mergeCell ref="B10:F10"/>
    <mergeCell ref="G10:J10"/>
    <mergeCell ref="B11:F11"/>
    <mergeCell ref="G11:J11"/>
    <mergeCell ref="A5:G5"/>
    <mergeCell ref="H5:J5"/>
    <mergeCell ref="A7:J7"/>
    <mergeCell ref="A1:G1"/>
    <mergeCell ref="H1:J1"/>
    <mergeCell ref="A2:J2"/>
    <mergeCell ref="A3:G3"/>
    <mergeCell ref="H3:J3"/>
    <mergeCell ref="A4:G4"/>
    <mergeCell ref="H4:J4"/>
    <mergeCell ref="B8:F8"/>
    <mergeCell ref="G8:J8"/>
    <mergeCell ref="B9:F9"/>
    <mergeCell ref="G9:J9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65" fitToHeight="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57"/>
  <sheetViews>
    <sheetView zoomScale="90" zoomScaleNormal="90" workbookViewId="0">
      <selection activeCell="J59" sqref="J59"/>
    </sheetView>
  </sheetViews>
  <sheetFormatPr defaultColWidth="0" defaultRowHeight="23.1" customHeight="1" zeroHeight="1" x14ac:dyDescent="0.25"/>
  <cols>
    <col min="1" max="1" width="10.7109375" style="5" customWidth="1"/>
    <col min="2" max="10" width="15.7109375" style="5" customWidth="1"/>
    <col min="11" max="11" width="1.7109375" style="5" customWidth="1"/>
    <col min="12" max="12" width="11.5703125" style="5" hidden="1" customWidth="1"/>
    <col min="13" max="13" width="13.28515625" style="5" hidden="1" customWidth="1"/>
    <col min="14" max="18" width="11.5703125" style="5" hidden="1" customWidth="1"/>
    <col min="19" max="20" width="15" style="5" hidden="1" customWidth="1"/>
    <col min="21" max="21" width="13.140625" style="5" hidden="1" customWidth="1"/>
    <col min="22" max="22" width="16.7109375" style="5" hidden="1" customWidth="1"/>
    <col min="23" max="23" width="12.85546875" style="5" hidden="1" customWidth="1"/>
    <col min="24" max="26" width="11.5703125" style="5" hidden="1" customWidth="1"/>
    <col min="27" max="16384" width="14.42578125" style="5" hidden="1"/>
  </cols>
  <sheetData>
    <row r="1" spans="1:11" ht="33.200000000000003" customHeight="1" x14ac:dyDescent="0.25">
      <c r="A1" s="138" t="s">
        <v>183</v>
      </c>
      <c r="B1" s="213"/>
      <c r="C1" s="213"/>
      <c r="D1" s="213"/>
      <c r="E1" s="213"/>
      <c r="F1" s="213"/>
      <c r="G1" s="214"/>
      <c r="H1" s="135" t="s">
        <v>106</v>
      </c>
      <c r="I1" s="136"/>
      <c r="J1" s="137"/>
      <c r="K1" s="34"/>
    </row>
    <row r="2" spans="1:11" ht="23.1" customHeight="1" x14ac:dyDescent="0.25">
      <c r="A2" s="138" t="s">
        <v>194</v>
      </c>
      <c r="B2" s="139"/>
      <c r="C2" s="139"/>
      <c r="D2" s="139"/>
      <c r="E2" s="139"/>
      <c r="F2" s="139"/>
      <c r="G2" s="139"/>
      <c r="H2" s="139"/>
      <c r="I2" s="139"/>
      <c r="J2" s="140"/>
      <c r="K2" s="34"/>
    </row>
    <row r="3" spans="1:11" s="6" customFormat="1" ht="23.1" customHeight="1" x14ac:dyDescent="0.25">
      <c r="A3" s="128" t="s">
        <v>0</v>
      </c>
      <c r="B3" s="120"/>
      <c r="C3" s="120"/>
      <c r="D3" s="120"/>
      <c r="E3" s="120"/>
      <c r="F3" s="120"/>
      <c r="G3" s="130"/>
      <c r="H3" s="122"/>
      <c r="I3" s="123"/>
      <c r="J3" s="124"/>
      <c r="K3" s="35"/>
    </row>
    <row r="4" spans="1:11" s="6" customFormat="1" ht="23.1" customHeight="1" x14ac:dyDescent="0.25">
      <c r="A4" s="128" t="s">
        <v>1</v>
      </c>
      <c r="B4" s="141"/>
      <c r="C4" s="141"/>
      <c r="D4" s="141"/>
      <c r="E4" s="141"/>
      <c r="F4" s="141"/>
      <c r="G4" s="130"/>
      <c r="H4" s="122"/>
      <c r="I4" s="123"/>
      <c r="J4" s="124"/>
      <c r="K4" s="35"/>
    </row>
    <row r="5" spans="1:11" s="6" customFormat="1" ht="23.1" customHeight="1" x14ac:dyDescent="0.25">
      <c r="A5" s="119" t="s">
        <v>108</v>
      </c>
      <c r="B5" s="120"/>
      <c r="C5" s="120"/>
      <c r="D5" s="120"/>
      <c r="E5" s="120"/>
      <c r="F5" s="120"/>
      <c r="G5" s="121"/>
      <c r="H5" s="122"/>
      <c r="I5" s="123"/>
      <c r="J5" s="124"/>
      <c r="K5" s="35"/>
    </row>
    <row r="6" spans="1:11" s="6" customFormat="1" ht="23.1" customHeight="1" x14ac:dyDescent="0.25">
      <c r="A6" s="50"/>
      <c r="B6" s="49"/>
      <c r="C6" s="49"/>
      <c r="D6" s="49"/>
      <c r="E6" s="49"/>
      <c r="F6" s="49"/>
      <c r="G6" s="50"/>
      <c r="H6" s="51"/>
      <c r="I6" s="49"/>
      <c r="J6" s="49"/>
      <c r="K6" s="35"/>
    </row>
    <row r="7" spans="1:11" s="6" customFormat="1" ht="23.1" customHeight="1" x14ac:dyDescent="0.25">
      <c r="A7" s="142" t="s">
        <v>2</v>
      </c>
      <c r="B7" s="211"/>
      <c r="C7" s="211"/>
      <c r="D7" s="211"/>
      <c r="E7" s="211"/>
      <c r="F7" s="211"/>
      <c r="G7" s="211"/>
      <c r="H7" s="211"/>
      <c r="I7" s="211"/>
      <c r="J7" s="212"/>
      <c r="K7" s="35"/>
    </row>
    <row r="8" spans="1:11" s="6" customFormat="1" ht="23.1" customHeight="1" x14ac:dyDescent="0.25">
      <c r="A8" s="7" t="s">
        <v>3</v>
      </c>
      <c r="B8" s="119" t="s">
        <v>4</v>
      </c>
      <c r="C8" s="165"/>
      <c r="D8" s="165"/>
      <c r="E8" s="165"/>
      <c r="F8" s="165"/>
      <c r="G8" s="134"/>
      <c r="H8" s="132"/>
      <c r="I8" s="132"/>
      <c r="J8" s="133"/>
      <c r="K8" s="35"/>
    </row>
    <row r="9" spans="1:11" s="6" customFormat="1" ht="23.1" customHeight="1" x14ac:dyDescent="0.25">
      <c r="A9" s="7" t="s">
        <v>5</v>
      </c>
      <c r="B9" s="119" t="s">
        <v>6</v>
      </c>
      <c r="C9" s="165"/>
      <c r="D9" s="165"/>
      <c r="E9" s="165"/>
      <c r="F9" s="165"/>
      <c r="G9" s="215" t="s">
        <v>109</v>
      </c>
      <c r="H9" s="216"/>
      <c r="I9" s="216"/>
      <c r="J9" s="217"/>
      <c r="K9" s="35"/>
    </row>
    <row r="10" spans="1:11" s="6" customFormat="1" ht="120" customHeight="1" x14ac:dyDescent="0.25">
      <c r="A10" s="7" t="s">
        <v>7</v>
      </c>
      <c r="B10" s="202" t="s">
        <v>197</v>
      </c>
      <c r="C10" s="203"/>
      <c r="D10" s="203"/>
      <c r="E10" s="203"/>
      <c r="F10" s="203"/>
      <c r="G10" s="204" t="s">
        <v>180</v>
      </c>
      <c r="H10" s="205"/>
      <c r="I10" s="205"/>
      <c r="J10" s="206"/>
      <c r="K10" s="35"/>
    </row>
    <row r="11" spans="1:11" s="6" customFormat="1" ht="23.1" customHeight="1" x14ac:dyDescent="0.25">
      <c r="A11" s="7" t="s">
        <v>9</v>
      </c>
      <c r="B11" s="154" t="s">
        <v>10</v>
      </c>
      <c r="C11" s="207"/>
      <c r="D11" s="207"/>
      <c r="E11" s="207"/>
      <c r="F11" s="207"/>
      <c r="G11" s="208">
        <v>60</v>
      </c>
      <c r="H11" s="209"/>
      <c r="I11" s="209"/>
      <c r="J11" s="210"/>
      <c r="K11" s="35"/>
    </row>
    <row r="12" spans="1:11" s="6" customFormat="1" ht="23.1" customHeight="1" x14ac:dyDescent="0.25">
      <c r="A12" s="51"/>
      <c r="B12" s="32"/>
      <c r="C12" s="52"/>
      <c r="D12" s="52"/>
      <c r="E12" s="52"/>
      <c r="F12" s="52"/>
      <c r="G12" s="52"/>
      <c r="H12" s="51"/>
      <c r="I12" s="31"/>
      <c r="J12" s="31"/>
      <c r="K12" s="35"/>
    </row>
    <row r="13" spans="1:11" s="6" customFormat="1" ht="23.1" customHeight="1" x14ac:dyDescent="0.25">
      <c r="A13" s="154" t="s">
        <v>134</v>
      </c>
      <c r="B13" s="155"/>
      <c r="C13" s="155"/>
      <c r="D13" s="155"/>
      <c r="E13" s="155"/>
      <c r="F13" s="155"/>
      <c r="G13" s="155"/>
      <c r="H13" s="155"/>
      <c r="I13" s="155"/>
      <c r="J13" s="156"/>
      <c r="K13" s="35"/>
    </row>
    <row r="14" spans="1:11" s="6" customFormat="1" ht="23.1" customHeight="1" x14ac:dyDescent="0.25">
      <c r="A14" s="157"/>
      <c r="B14" s="158"/>
      <c r="C14" s="158"/>
      <c r="D14" s="158"/>
      <c r="E14" s="158"/>
      <c r="F14" s="158"/>
      <c r="G14" s="158"/>
      <c r="H14" s="158"/>
      <c r="I14" s="158"/>
      <c r="J14" s="159"/>
      <c r="K14" s="35"/>
    </row>
    <row r="15" spans="1:11" s="6" customFormat="1" ht="23.1" customHeight="1" x14ac:dyDescent="0.25">
      <c r="A15" s="142" t="s">
        <v>11</v>
      </c>
      <c r="B15" s="126"/>
      <c r="C15" s="126"/>
      <c r="D15" s="126"/>
      <c r="E15" s="126"/>
      <c r="F15" s="126"/>
      <c r="G15" s="126"/>
      <c r="H15" s="126"/>
      <c r="I15" s="126"/>
      <c r="J15" s="127"/>
      <c r="K15" s="35"/>
    </row>
    <row r="16" spans="1:11" s="6" customFormat="1" ht="30" customHeight="1" x14ac:dyDescent="0.25">
      <c r="A16" s="7">
        <v>1</v>
      </c>
      <c r="B16" s="143" t="s">
        <v>12</v>
      </c>
      <c r="C16" s="144"/>
      <c r="D16" s="144"/>
      <c r="E16" s="144"/>
      <c r="F16" s="144"/>
      <c r="G16" s="144"/>
      <c r="H16" s="145"/>
      <c r="I16" s="208" t="str">
        <f>A1</f>
        <v>TRADUTOR/INTERPRETE DE LIBRAS - 40H/SEMANA</v>
      </c>
      <c r="J16" s="218"/>
      <c r="K16" s="35"/>
    </row>
    <row r="17" spans="1:11" s="6" customFormat="1" ht="30" customHeight="1" x14ac:dyDescent="0.25">
      <c r="A17" s="7">
        <v>2</v>
      </c>
      <c r="B17" s="143" t="s">
        <v>13</v>
      </c>
      <c r="C17" s="144"/>
      <c r="D17" s="144"/>
      <c r="E17" s="144"/>
      <c r="F17" s="144"/>
      <c r="G17" s="144"/>
      <c r="H17" s="145"/>
      <c r="I17" s="219" t="s">
        <v>181</v>
      </c>
      <c r="J17" s="220"/>
      <c r="K17" s="35"/>
    </row>
    <row r="18" spans="1:11" s="6" customFormat="1" ht="99.95" customHeight="1" x14ac:dyDescent="0.25">
      <c r="A18" s="7">
        <v>3</v>
      </c>
      <c r="B18" s="202" t="s">
        <v>198</v>
      </c>
      <c r="C18" s="203"/>
      <c r="D18" s="203"/>
      <c r="E18" s="203"/>
      <c r="F18" s="203"/>
      <c r="G18" s="203"/>
      <c r="H18" s="221"/>
      <c r="I18" s="222">
        <f>'TILS 20H - PF'!I18:J18</f>
        <v>2016</v>
      </c>
      <c r="J18" s="223"/>
      <c r="K18" s="35"/>
    </row>
    <row r="19" spans="1:11" s="6" customFormat="1" ht="30" customHeight="1" x14ac:dyDescent="0.25">
      <c r="A19" s="7">
        <v>4</v>
      </c>
      <c r="B19" s="143" t="s">
        <v>15</v>
      </c>
      <c r="C19" s="144"/>
      <c r="D19" s="144"/>
      <c r="E19" s="144"/>
      <c r="F19" s="144"/>
      <c r="G19" s="144"/>
      <c r="H19" s="145"/>
      <c r="I19" s="219" t="str">
        <f>I16</f>
        <v>TRADUTOR/INTERPRETE DE LIBRAS - 40H/SEMANA</v>
      </c>
      <c r="J19" s="220"/>
      <c r="K19" s="35"/>
    </row>
    <row r="20" spans="1:11" s="6" customFormat="1" ht="99.95" customHeight="1" x14ac:dyDescent="0.25">
      <c r="A20" s="7">
        <v>5</v>
      </c>
      <c r="B20" s="202" t="s">
        <v>199</v>
      </c>
      <c r="C20" s="203"/>
      <c r="D20" s="203"/>
      <c r="E20" s="203"/>
      <c r="F20" s="203"/>
      <c r="G20" s="203"/>
      <c r="H20" s="221"/>
      <c r="I20" s="226">
        <v>44927</v>
      </c>
      <c r="J20" s="227"/>
      <c r="K20" s="35"/>
    </row>
    <row r="21" spans="1:11" s="6" customFormat="1" ht="30" customHeight="1" x14ac:dyDescent="0.25">
      <c r="A21" s="7">
        <v>6</v>
      </c>
      <c r="B21" s="128" t="s">
        <v>130</v>
      </c>
      <c r="C21" s="129"/>
      <c r="D21" s="129"/>
      <c r="E21" s="129"/>
      <c r="F21" s="129"/>
      <c r="G21" s="129"/>
      <c r="H21" s="130"/>
      <c r="I21" s="222">
        <v>1320</v>
      </c>
      <c r="J21" s="223"/>
      <c r="K21" s="35"/>
    </row>
    <row r="22" spans="1:11" s="6" customFormat="1" ht="30" customHeight="1" x14ac:dyDescent="0.25">
      <c r="A22" s="7">
        <v>7</v>
      </c>
      <c r="B22" s="128" t="s">
        <v>131</v>
      </c>
      <c r="C22" s="129"/>
      <c r="D22" s="129"/>
      <c r="E22" s="129"/>
      <c r="F22" s="129"/>
      <c r="G22" s="129"/>
      <c r="H22" s="130"/>
      <c r="I22" s="224">
        <v>40</v>
      </c>
      <c r="J22" s="225"/>
      <c r="K22" s="35"/>
    </row>
    <row r="23" spans="1:11" s="6" customFormat="1" ht="23.1" customHeight="1" x14ac:dyDescent="0.25">
      <c r="A23" s="162"/>
      <c r="B23" s="129"/>
      <c r="C23" s="129"/>
      <c r="D23" s="129"/>
      <c r="E23" s="129"/>
      <c r="F23" s="129"/>
      <c r="G23" s="129"/>
      <c r="H23" s="129"/>
      <c r="I23" s="129"/>
      <c r="J23" s="129"/>
      <c r="K23" s="35"/>
    </row>
    <row r="24" spans="1:11" s="6" customFormat="1" ht="23.1" customHeight="1" x14ac:dyDescent="0.25">
      <c r="A24" s="128" t="s">
        <v>17</v>
      </c>
      <c r="B24" s="129"/>
      <c r="C24" s="129"/>
      <c r="D24" s="129"/>
      <c r="E24" s="129"/>
      <c r="F24" s="129"/>
      <c r="G24" s="129"/>
      <c r="H24" s="129"/>
      <c r="I24" s="129"/>
      <c r="J24" s="130"/>
      <c r="K24" s="35"/>
    </row>
    <row r="25" spans="1:11" s="6" customFormat="1" ht="23.1" customHeight="1" x14ac:dyDescent="0.25">
      <c r="A25" s="36">
        <v>1</v>
      </c>
      <c r="B25" s="142" t="s">
        <v>18</v>
      </c>
      <c r="C25" s="163"/>
      <c r="D25" s="163"/>
      <c r="E25" s="163"/>
      <c r="F25" s="163"/>
      <c r="G25" s="163"/>
      <c r="H25" s="164"/>
      <c r="I25" s="36" t="s">
        <v>29</v>
      </c>
      <c r="J25" s="36" t="s">
        <v>23</v>
      </c>
      <c r="K25" s="35"/>
    </row>
    <row r="26" spans="1:11" s="6" customFormat="1" ht="23.1" customHeight="1" x14ac:dyDescent="0.25">
      <c r="A26" s="7" t="s">
        <v>3</v>
      </c>
      <c r="B26" s="119" t="s">
        <v>126</v>
      </c>
      <c r="C26" s="165"/>
      <c r="D26" s="165"/>
      <c r="E26" s="165"/>
      <c r="F26" s="165"/>
      <c r="G26" s="165"/>
      <c r="H26" s="33"/>
      <c r="I26" s="29"/>
      <c r="J26" s="8">
        <f>IF((ROUND(I18/20*I22,2))&gt;I21,(ROUND(I18/20*I22,2)),I21)</f>
        <v>4032</v>
      </c>
      <c r="K26" s="35"/>
    </row>
    <row r="27" spans="1:11" s="6" customFormat="1" ht="23.1" customHeight="1" x14ac:dyDescent="0.25">
      <c r="A27" s="7" t="s">
        <v>5</v>
      </c>
      <c r="B27" s="128" t="s">
        <v>144</v>
      </c>
      <c r="C27" s="129"/>
      <c r="D27" s="129"/>
      <c r="E27" s="129"/>
      <c r="F27" s="129"/>
      <c r="G27" s="129"/>
      <c r="H27" s="130"/>
      <c r="I27" s="46"/>
      <c r="J27" s="8">
        <f>ROUND(I27*J26,2)</f>
        <v>0</v>
      </c>
      <c r="K27" s="35"/>
    </row>
    <row r="28" spans="1:11" s="6" customFormat="1" ht="23.1" customHeight="1" x14ac:dyDescent="0.25">
      <c r="A28" s="7" t="s">
        <v>7</v>
      </c>
      <c r="B28" s="128" t="s">
        <v>143</v>
      </c>
      <c r="C28" s="129"/>
      <c r="D28" s="129"/>
      <c r="E28" s="129"/>
      <c r="F28" s="129"/>
      <c r="G28" s="129"/>
      <c r="H28" s="130"/>
      <c r="I28" s="46"/>
      <c r="J28" s="8">
        <f>ROUND(I28*I21,2)</f>
        <v>0</v>
      </c>
      <c r="K28" s="35"/>
    </row>
    <row r="29" spans="1:11" s="6" customFormat="1" ht="23.1" customHeight="1" x14ac:dyDescent="0.25">
      <c r="A29" s="7" t="s">
        <v>7</v>
      </c>
      <c r="B29" s="128" t="s">
        <v>142</v>
      </c>
      <c r="C29" s="129"/>
      <c r="D29" s="129"/>
      <c r="E29" s="129"/>
      <c r="F29" s="129"/>
      <c r="G29" s="129"/>
      <c r="H29" s="130"/>
      <c r="I29" s="46"/>
      <c r="J29" s="8">
        <f>ROUND(I29*J26,2)</f>
        <v>0</v>
      </c>
      <c r="K29" s="35"/>
    </row>
    <row r="30" spans="1:11" s="6" customFormat="1" ht="23.1" customHeight="1" x14ac:dyDescent="0.25">
      <c r="A30" s="7" t="s">
        <v>9</v>
      </c>
      <c r="B30" s="128" t="s">
        <v>146</v>
      </c>
      <c r="C30" s="129"/>
      <c r="D30" s="129"/>
      <c r="E30" s="129"/>
      <c r="F30" s="129"/>
      <c r="G30" s="129"/>
      <c r="H30" s="130"/>
      <c r="I30" s="56"/>
      <c r="J30" s="8">
        <f>ROUND(I18/220*0.2*I30,2)</f>
        <v>0</v>
      </c>
      <c r="K30" s="35"/>
    </row>
    <row r="31" spans="1:11" s="6" customFormat="1" ht="22.5" customHeight="1" x14ac:dyDescent="0.25">
      <c r="A31" s="7" t="s">
        <v>36</v>
      </c>
      <c r="B31" s="128" t="s">
        <v>147</v>
      </c>
      <c r="C31" s="129"/>
      <c r="D31" s="129"/>
      <c r="E31" s="129"/>
      <c r="F31" s="129"/>
      <c r="G31" s="129"/>
      <c r="H31" s="130"/>
      <c r="I31" s="56"/>
      <c r="J31" s="8">
        <f>ROUND((I18/220*1.2*1.5)*(I31*(60-52.5)/60),2)</f>
        <v>0</v>
      </c>
      <c r="K31" s="35"/>
    </row>
    <row r="32" spans="1:11" s="6" customFormat="1" ht="23.1" customHeight="1" x14ac:dyDescent="0.25">
      <c r="A32" s="7" t="s">
        <v>38</v>
      </c>
      <c r="B32" s="128" t="s">
        <v>145</v>
      </c>
      <c r="C32" s="129"/>
      <c r="D32" s="129"/>
      <c r="E32" s="129"/>
      <c r="F32" s="129"/>
      <c r="G32" s="129"/>
      <c r="H32" s="130"/>
      <c r="I32" s="79"/>
      <c r="J32" s="8">
        <f>ROUND((J31+J30)*0.2,2)</f>
        <v>0</v>
      </c>
      <c r="K32" s="35"/>
    </row>
    <row r="33" spans="1:11" s="6" customFormat="1" ht="23.1" customHeight="1" x14ac:dyDescent="0.25">
      <c r="A33" s="7" t="s">
        <v>40</v>
      </c>
      <c r="B33" s="228" t="s">
        <v>127</v>
      </c>
      <c r="C33" s="229"/>
      <c r="D33" s="229"/>
      <c r="E33" s="229"/>
      <c r="F33" s="229"/>
      <c r="G33" s="229"/>
      <c r="H33" s="230"/>
      <c r="I33" s="79"/>
      <c r="J33" s="79"/>
      <c r="K33" s="35"/>
    </row>
    <row r="34" spans="1:11" s="6" customFormat="1" ht="23.1" customHeight="1" x14ac:dyDescent="0.25">
      <c r="A34" s="171" t="s">
        <v>19</v>
      </c>
      <c r="B34" s="126"/>
      <c r="C34" s="126"/>
      <c r="D34" s="126"/>
      <c r="E34" s="126"/>
      <c r="F34" s="126"/>
      <c r="G34" s="126"/>
      <c r="H34" s="126"/>
      <c r="I34" s="127"/>
      <c r="J34" s="37">
        <f>SUM(J26:J33)</f>
        <v>4032</v>
      </c>
      <c r="K34" s="35"/>
    </row>
    <row r="35" spans="1:11" s="6" customFormat="1" ht="23.1" customHeight="1" x14ac:dyDescent="0.25">
      <c r="A35" s="231"/>
      <c r="B35" s="231"/>
      <c r="C35" s="231"/>
      <c r="D35" s="231"/>
      <c r="E35" s="231"/>
      <c r="F35" s="231"/>
      <c r="G35" s="231"/>
      <c r="H35" s="231"/>
      <c r="I35" s="231"/>
      <c r="J35" s="231"/>
      <c r="K35" s="35"/>
    </row>
    <row r="36" spans="1:11" s="6" customFormat="1" ht="23.1" customHeight="1" x14ac:dyDescent="0.25">
      <c r="A36" s="128" t="s">
        <v>20</v>
      </c>
      <c r="B36" s="129"/>
      <c r="C36" s="129"/>
      <c r="D36" s="129"/>
      <c r="E36" s="129"/>
      <c r="F36" s="129"/>
      <c r="G36" s="129"/>
      <c r="H36" s="129"/>
      <c r="I36" s="129"/>
      <c r="J36" s="130"/>
      <c r="K36" s="35"/>
    </row>
    <row r="37" spans="1:11" s="6" customFormat="1" ht="23.1" customHeight="1" x14ac:dyDescent="0.25">
      <c r="A37" s="167" t="s">
        <v>21</v>
      </c>
      <c r="B37" s="126"/>
      <c r="C37" s="126"/>
      <c r="D37" s="126"/>
      <c r="E37" s="126"/>
      <c r="F37" s="126"/>
      <c r="G37" s="126"/>
      <c r="H37" s="126"/>
      <c r="I37" s="126"/>
      <c r="J37" s="127"/>
      <c r="K37" s="35"/>
    </row>
    <row r="38" spans="1:11" s="6" customFormat="1" ht="38.25" customHeight="1" x14ac:dyDescent="0.25">
      <c r="A38" s="10" t="s">
        <v>22</v>
      </c>
      <c r="B38" s="168" t="s">
        <v>111</v>
      </c>
      <c r="C38" s="129"/>
      <c r="D38" s="129"/>
      <c r="E38" s="129"/>
      <c r="F38" s="129"/>
      <c r="G38" s="129"/>
      <c r="H38" s="129"/>
      <c r="I38" s="130"/>
      <c r="J38" s="7" t="s">
        <v>23</v>
      </c>
      <c r="K38" s="35"/>
    </row>
    <row r="39" spans="1:11" s="6" customFormat="1" ht="38.25" customHeight="1" x14ac:dyDescent="0.25">
      <c r="A39" s="10" t="s">
        <v>3</v>
      </c>
      <c r="B39" s="128" t="s">
        <v>112</v>
      </c>
      <c r="C39" s="129"/>
      <c r="D39" s="129"/>
      <c r="E39" s="129"/>
      <c r="F39" s="129"/>
      <c r="G39" s="129"/>
      <c r="H39" s="130"/>
      <c r="I39" s="11">
        <v>8.3299999999999999E-2</v>
      </c>
      <c r="J39" s="12">
        <f t="shared" ref="J39:J40" si="0">ROUND($J$34*I39,2)</f>
        <v>335.87</v>
      </c>
      <c r="K39" s="35"/>
    </row>
    <row r="40" spans="1:11" s="6" customFormat="1" ht="38.25" customHeight="1" x14ac:dyDescent="0.25">
      <c r="A40" s="10" t="s">
        <v>5</v>
      </c>
      <c r="B40" s="169" t="s">
        <v>113</v>
      </c>
      <c r="C40" s="129"/>
      <c r="D40" s="129"/>
      <c r="E40" s="129"/>
      <c r="F40" s="129"/>
      <c r="G40" s="129"/>
      <c r="H40" s="130"/>
      <c r="I40" s="13">
        <v>3.0249999999999999E-2</v>
      </c>
      <c r="J40" s="12">
        <f t="shared" si="0"/>
        <v>121.97</v>
      </c>
      <c r="K40" s="35"/>
    </row>
    <row r="41" spans="1:11" s="6" customFormat="1" ht="23.1" customHeight="1" x14ac:dyDescent="0.25">
      <c r="A41" s="170" t="s">
        <v>24</v>
      </c>
      <c r="B41" s="129"/>
      <c r="C41" s="129"/>
      <c r="D41" s="129"/>
      <c r="E41" s="129"/>
      <c r="F41" s="129"/>
      <c r="G41" s="129"/>
      <c r="H41" s="129"/>
      <c r="I41" s="130"/>
      <c r="J41" s="12">
        <f>SUM(J39+J40)</f>
        <v>457.84000000000003</v>
      </c>
      <c r="K41" s="35"/>
    </row>
    <row r="42" spans="1:11" s="6" customFormat="1" ht="23.1" customHeight="1" x14ac:dyDescent="0.25">
      <c r="A42" s="10" t="s">
        <v>7</v>
      </c>
      <c r="B42" s="168" t="s">
        <v>25</v>
      </c>
      <c r="C42" s="129"/>
      <c r="D42" s="129"/>
      <c r="E42" s="129"/>
      <c r="F42" s="129"/>
      <c r="G42" s="129"/>
      <c r="H42" s="129"/>
      <c r="I42" s="130"/>
      <c r="J42" s="9">
        <f>ROUND(I55*J41,2)</f>
        <v>168.49</v>
      </c>
      <c r="K42" s="35"/>
    </row>
    <row r="43" spans="1:11" s="6" customFormat="1" ht="23.1" customHeight="1" x14ac:dyDescent="0.25">
      <c r="A43" s="172" t="s">
        <v>24</v>
      </c>
      <c r="B43" s="126"/>
      <c r="C43" s="126"/>
      <c r="D43" s="126"/>
      <c r="E43" s="126"/>
      <c r="F43" s="126"/>
      <c r="G43" s="126"/>
      <c r="H43" s="126"/>
      <c r="I43" s="127"/>
      <c r="J43" s="37">
        <f>J41+J42</f>
        <v>626.33000000000004</v>
      </c>
      <c r="K43" s="35"/>
    </row>
    <row r="44" spans="1:11" s="6" customFormat="1" ht="23.1" customHeight="1" x14ac:dyDescent="0.25">
      <c r="A44" s="162"/>
      <c r="B44" s="129"/>
      <c r="C44" s="129"/>
      <c r="D44" s="129"/>
      <c r="E44" s="129"/>
      <c r="F44" s="129"/>
      <c r="G44" s="129"/>
      <c r="H44" s="129"/>
      <c r="I44" s="129"/>
      <c r="J44" s="129"/>
      <c r="K44" s="35"/>
    </row>
    <row r="45" spans="1:11" s="6" customFormat="1" ht="23.1" customHeight="1" x14ac:dyDescent="0.25">
      <c r="A45" s="128" t="s">
        <v>26</v>
      </c>
      <c r="B45" s="129"/>
      <c r="C45" s="129"/>
      <c r="D45" s="129"/>
      <c r="E45" s="129"/>
      <c r="F45" s="129"/>
      <c r="G45" s="129"/>
      <c r="H45" s="129"/>
      <c r="I45" s="129"/>
      <c r="J45" s="130"/>
      <c r="K45" s="35"/>
    </row>
    <row r="46" spans="1:11" s="6" customFormat="1" ht="23.1" customHeight="1" x14ac:dyDescent="0.25">
      <c r="A46" s="38" t="s">
        <v>27</v>
      </c>
      <c r="B46" s="173" t="s">
        <v>28</v>
      </c>
      <c r="C46" s="126"/>
      <c r="D46" s="126"/>
      <c r="E46" s="126"/>
      <c r="F46" s="126"/>
      <c r="G46" s="126"/>
      <c r="H46" s="127"/>
      <c r="I46" s="36" t="s">
        <v>29</v>
      </c>
      <c r="J46" s="36" t="s">
        <v>23</v>
      </c>
      <c r="K46" s="35"/>
    </row>
    <row r="47" spans="1:11" s="6" customFormat="1" ht="23.1" customHeight="1" x14ac:dyDescent="0.25">
      <c r="A47" s="10" t="s">
        <v>3</v>
      </c>
      <c r="B47" s="168" t="s">
        <v>30</v>
      </c>
      <c r="C47" s="129"/>
      <c r="D47" s="129"/>
      <c r="E47" s="129"/>
      <c r="F47" s="129"/>
      <c r="G47" s="129"/>
      <c r="H47" s="130"/>
      <c r="I47" s="80">
        <v>0.2</v>
      </c>
      <c r="J47" s="9">
        <f t="shared" ref="J47:J54" si="1">ROUND($J$34*I47,2)</f>
        <v>806.4</v>
      </c>
      <c r="K47" s="35"/>
    </row>
    <row r="48" spans="1:11" s="6" customFormat="1" ht="23.1" customHeight="1" x14ac:dyDescent="0.25">
      <c r="A48" s="10" t="s">
        <v>5</v>
      </c>
      <c r="B48" s="168" t="s">
        <v>31</v>
      </c>
      <c r="C48" s="129"/>
      <c r="D48" s="129"/>
      <c r="E48" s="129"/>
      <c r="F48" s="129"/>
      <c r="G48" s="129"/>
      <c r="H48" s="130"/>
      <c r="I48" s="80">
        <v>2.5000000000000001E-2</v>
      </c>
      <c r="J48" s="9">
        <f t="shared" si="1"/>
        <v>100.8</v>
      </c>
      <c r="K48" s="35"/>
    </row>
    <row r="49" spans="1:11" s="6" customFormat="1" ht="23.1" customHeight="1" x14ac:dyDescent="0.25">
      <c r="A49" s="10" t="s">
        <v>7</v>
      </c>
      <c r="B49" s="168" t="s">
        <v>32</v>
      </c>
      <c r="C49" s="129"/>
      <c r="D49" s="130"/>
      <c r="E49" s="15" t="s">
        <v>33</v>
      </c>
      <c r="F49" s="41">
        <v>0.03</v>
      </c>
      <c r="G49" s="15" t="s">
        <v>34</v>
      </c>
      <c r="H49" s="42">
        <v>1</v>
      </c>
      <c r="I49" s="16">
        <f>F49*H49</f>
        <v>0.03</v>
      </c>
      <c r="J49" s="9">
        <f>ROUND($J$34*I49,2)</f>
        <v>120.96</v>
      </c>
      <c r="K49" s="35"/>
    </row>
    <row r="50" spans="1:11" s="6" customFormat="1" ht="23.1" customHeight="1" x14ac:dyDescent="0.25">
      <c r="A50" s="10" t="s">
        <v>9</v>
      </c>
      <c r="B50" s="168" t="s">
        <v>35</v>
      </c>
      <c r="C50" s="129"/>
      <c r="D50" s="129"/>
      <c r="E50" s="129"/>
      <c r="F50" s="129"/>
      <c r="G50" s="129"/>
      <c r="H50" s="130"/>
      <c r="I50" s="80">
        <v>1.4999999999999999E-2</v>
      </c>
      <c r="J50" s="9">
        <f t="shared" si="1"/>
        <v>60.48</v>
      </c>
      <c r="K50" s="35"/>
    </row>
    <row r="51" spans="1:11" s="6" customFormat="1" ht="23.1" customHeight="1" x14ac:dyDescent="0.25">
      <c r="A51" s="10" t="s">
        <v>36</v>
      </c>
      <c r="B51" s="168" t="s">
        <v>37</v>
      </c>
      <c r="C51" s="129"/>
      <c r="D51" s="129"/>
      <c r="E51" s="129"/>
      <c r="F51" s="129"/>
      <c r="G51" s="129"/>
      <c r="H51" s="130"/>
      <c r="I51" s="80">
        <v>0.01</v>
      </c>
      <c r="J51" s="9">
        <f t="shared" si="1"/>
        <v>40.32</v>
      </c>
      <c r="K51" s="35"/>
    </row>
    <row r="52" spans="1:11" s="6" customFormat="1" ht="23.1" customHeight="1" x14ac:dyDescent="0.25">
      <c r="A52" s="10" t="s">
        <v>38</v>
      </c>
      <c r="B52" s="168" t="s">
        <v>39</v>
      </c>
      <c r="C52" s="129"/>
      <c r="D52" s="129"/>
      <c r="E52" s="129"/>
      <c r="F52" s="129"/>
      <c r="G52" s="129"/>
      <c r="H52" s="130"/>
      <c r="I52" s="80">
        <v>6.0000000000000001E-3</v>
      </c>
      <c r="J52" s="9">
        <f t="shared" si="1"/>
        <v>24.19</v>
      </c>
      <c r="K52" s="35"/>
    </row>
    <row r="53" spans="1:11" s="6" customFormat="1" ht="23.1" customHeight="1" x14ac:dyDescent="0.25">
      <c r="A53" s="10" t="s">
        <v>40</v>
      </c>
      <c r="B53" s="168" t="s">
        <v>41</v>
      </c>
      <c r="C53" s="129"/>
      <c r="D53" s="129"/>
      <c r="E53" s="129"/>
      <c r="F53" s="129"/>
      <c r="G53" s="129"/>
      <c r="H53" s="130"/>
      <c r="I53" s="80">
        <v>2E-3</v>
      </c>
      <c r="J53" s="9">
        <f t="shared" si="1"/>
        <v>8.06</v>
      </c>
      <c r="K53" s="35"/>
    </row>
    <row r="54" spans="1:11" s="6" customFormat="1" ht="23.1" customHeight="1" x14ac:dyDescent="0.25">
      <c r="A54" s="10" t="s">
        <v>42</v>
      </c>
      <c r="B54" s="168" t="s">
        <v>43</v>
      </c>
      <c r="C54" s="129"/>
      <c r="D54" s="129"/>
      <c r="E54" s="129"/>
      <c r="F54" s="129"/>
      <c r="G54" s="129"/>
      <c r="H54" s="130"/>
      <c r="I54" s="80">
        <v>0.08</v>
      </c>
      <c r="J54" s="9">
        <f t="shared" si="1"/>
        <v>322.56</v>
      </c>
      <c r="K54" s="35"/>
    </row>
    <row r="55" spans="1:11" s="6" customFormat="1" ht="23.1" customHeight="1" x14ac:dyDescent="0.25">
      <c r="A55" s="172" t="s">
        <v>24</v>
      </c>
      <c r="B55" s="126"/>
      <c r="C55" s="126"/>
      <c r="D55" s="126"/>
      <c r="E55" s="126"/>
      <c r="F55" s="126"/>
      <c r="G55" s="126"/>
      <c r="H55" s="127"/>
      <c r="I55" s="39">
        <f t="shared" ref="I55:J55" si="2">SUM(I47:I54)</f>
        <v>0.36800000000000005</v>
      </c>
      <c r="J55" s="37">
        <f t="shared" si="2"/>
        <v>1483.7699999999998</v>
      </c>
      <c r="K55" s="35"/>
    </row>
    <row r="56" spans="1:11" s="6" customFormat="1" ht="23.1" customHeight="1" x14ac:dyDescent="0.25">
      <c r="A56" s="162"/>
      <c r="B56" s="129"/>
      <c r="C56" s="129"/>
      <c r="D56" s="129"/>
      <c r="E56" s="129"/>
      <c r="F56" s="129"/>
      <c r="G56" s="129"/>
      <c r="H56" s="129"/>
      <c r="I56" s="129"/>
      <c r="J56" s="129"/>
      <c r="K56" s="35"/>
    </row>
    <row r="57" spans="1:11" s="6" customFormat="1" ht="23.1" customHeight="1" x14ac:dyDescent="0.25">
      <c r="A57" s="128" t="s">
        <v>44</v>
      </c>
      <c r="B57" s="129"/>
      <c r="C57" s="129"/>
      <c r="D57" s="129"/>
      <c r="E57" s="129"/>
      <c r="F57" s="129"/>
      <c r="G57" s="129"/>
      <c r="H57" s="129"/>
      <c r="I57" s="129"/>
      <c r="J57" s="130"/>
      <c r="K57" s="35"/>
    </row>
    <row r="58" spans="1:11" s="6" customFormat="1" ht="23.1" customHeight="1" x14ac:dyDescent="0.25">
      <c r="A58" s="38" t="s">
        <v>45</v>
      </c>
      <c r="B58" s="173" t="s">
        <v>46</v>
      </c>
      <c r="C58" s="126"/>
      <c r="D58" s="126"/>
      <c r="E58" s="126"/>
      <c r="F58" s="126"/>
      <c r="G58" s="126"/>
      <c r="H58" s="126"/>
      <c r="I58" s="127"/>
      <c r="J58" s="36" t="s">
        <v>23</v>
      </c>
      <c r="K58" s="35"/>
    </row>
    <row r="59" spans="1:11" s="6" customFormat="1" ht="23.1" customHeight="1" x14ac:dyDescent="0.25">
      <c r="A59" s="10" t="s">
        <v>3</v>
      </c>
      <c r="B59" s="168" t="s">
        <v>207</v>
      </c>
      <c r="C59" s="129"/>
      <c r="D59" s="129"/>
      <c r="E59" s="129"/>
      <c r="F59" s="129"/>
      <c r="G59" s="129"/>
      <c r="H59" s="129"/>
      <c r="I59" s="130"/>
      <c r="J59" s="9">
        <f>IF(ROUND((I62*I60*I61)-(J26*0.06),2)&lt;0,0,ROUND((I62*I60*I61)-(J26*0.06),2))</f>
        <v>0</v>
      </c>
      <c r="K59" s="35"/>
    </row>
    <row r="60" spans="1:11" s="6" customFormat="1" ht="69.95" customHeight="1" x14ac:dyDescent="0.25">
      <c r="A60" s="10"/>
      <c r="B60" s="232" t="s">
        <v>203</v>
      </c>
      <c r="C60" s="233"/>
      <c r="D60" s="233"/>
      <c r="E60" s="233"/>
      <c r="F60" s="233"/>
      <c r="G60" s="233"/>
      <c r="H60" s="234"/>
      <c r="I60" s="116">
        <v>5.5</v>
      </c>
      <c r="J60" s="17"/>
      <c r="K60" s="35"/>
    </row>
    <row r="61" spans="1:11" s="6" customFormat="1" ht="23.1" customHeight="1" x14ac:dyDescent="0.25">
      <c r="A61" s="10"/>
      <c r="B61" s="235" t="s">
        <v>48</v>
      </c>
      <c r="C61" s="129"/>
      <c r="D61" s="129"/>
      <c r="E61" s="129"/>
      <c r="F61" s="129"/>
      <c r="G61" s="129"/>
      <c r="H61" s="130"/>
      <c r="I61" s="56">
        <v>2</v>
      </c>
      <c r="J61" s="17"/>
      <c r="K61" s="35"/>
    </row>
    <row r="62" spans="1:11" s="6" customFormat="1" ht="23.1" customHeight="1" x14ac:dyDescent="0.25">
      <c r="A62" s="10"/>
      <c r="B62" s="235" t="s">
        <v>49</v>
      </c>
      <c r="C62" s="129"/>
      <c r="D62" s="129"/>
      <c r="E62" s="129"/>
      <c r="F62" s="129"/>
      <c r="G62" s="129"/>
      <c r="H62" s="130"/>
      <c r="I62" s="56">
        <v>21</v>
      </c>
      <c r="J62" s="17"/>
      <c r="K62" s="35"/>
    </row>
    <row r="63" spans="1:11" s="6" customFormat="1" ht="23.1" customHeight="1" x14ac:dyDescent="0.25">
      <c r="A63" s="10" t="s">
        <v>5</v>
      </c>
      <c r="B63" s="168" t="s">
        <v>208</v>
      </c>
      <c r="C63" s="129"/>
      <c r="D63" s="129"/>
      <c r="E63" s="129"/>
      <c r="F63" s="129"/>
      <c r="G63" s="129"/>
      <c r="H63" s="129"/>
      <c r="I63" s="130"/>
      <c r="J63" s="9">
        <f>ROUND(I65*I64*(1-I66),2)</f>
        <v>374.22</v>
      </c>
      <c r="K63" s="35"/>
    </row>
    <row r="64" spans="1:11" s="6" customFormat="1" ht="69.95" customHeight="1" x14ac:dyDescent="0.25">
      <c r="A64" s="10"/>
      <c r="B64" s="232" t="s">
        <v>204</v>
      </c>
      <c r="C64" s="236"/>
      <c r="D64" s="236"/>
      <c r="E64" s="236"/>
      <c r="F64" s="236"/>
      <c r="G64" s="236"/>
      <c r="H64" s="237"/>
      <c r="I64" s="116">
        <v>22</v>
      </c>
      <c r="J64" s="17"/>
      <c r="K64" s="35"/>
    </row>
    <row r="65" spans="1:12" s="6" customFormat="1" ht="23.1" customHeight="1" x14ac:dyDescent="0.25">
      <c r="A65" s="18"/>
      <c r="B65" s="235" t="s">
        <v>51</v>
      </c>
      <c r="C65" s="129"/>
      <c r="D65" s="129"/>
      <c r="E65" s="129"/>
      <c r="F65" s="129"/>
      <c r="G65" s="129"/>
      <c r="H65" s="130"/>
      <c r="I65" s="56">
        <v>21</v>
      </c>
      <c r="J65" s="17"/>
      <c r="K65" s="35"/>
    </row>
    <row r="66" spans="1:12" s="6" customFormat="1" ht="60" customHeight="1" x14ac:dyDescent="0.25">
      <c r="A66" s="18"/>
      <c r="B66" s="232" t="s">
        <v>205</v>
      </c>
      <c r="C66" s="236"/>
      <c r="D66" s="236"/>
      <c r="E66" s="236"/>
      <c r="F66" s="236"/>
      <c r="G66" s="236"/>
      <c r="H66" s="237"/>
      <c r="I66" s="115">
        <v>0.19</v>
      </c>
      <c r="J66" s="17"/>
      <c r="K66" s="35"/>
    </row>
    <row r="67" spans="1:12" s="6" customFormat="1" ht="22.5" customHeight="1" x14ac:dyDescent="0.25">
      <c r="A67" s="10" t="s">
        <v>7</v>
      </c>
      <c r="B67" s="128" t="s">
        <v>52</v>
      </c>
      <c r="C67" s="129"/>
      <c r="D67" s="129"/>
      <c r="E67" s="129"/>
      <c r="F67" s="129"/>
      <c r="G67" s="129"/>
      <c r="H67" s="129"/>
      <c r="I67" s="130"/>
      <c r="J67" s="43">
        <v>2.5</v>
      </c>
      <c r="K67" s="35"/>
    </row>
    <row r="68" spans="1:12" s="6" customFormat="1" ht="69.95" customHeight="1" x14ac:dyDescent="0.25">
      <c r="A68" s="10" t="s">
        <v>9</v>
      </c>
      <c r="B68" s="238" t="s">
        <v>206</v>
      </c>
      <c r="C68" s="233"/>
      <c r="D68" s="233"/>
      <c r="E68" s="233"/>
      <c r="F68" s="233"/>
      <c r="G68" s="233"/>
      <c r="H68" s="233"/>
      <c r="I68" s="234"/>
      <c r="J68" s="114">
        <v>18.5</v>
      </c>
      <c r="K68" s="35"/>
    </row>
    <row r="69" spans="1:12" s="6" customFormat="1" ht="23.1" customHeight="1" x14ac:dyDescent="0.25">
      <c r="A69" s="172" t="s">
        <v>19</v>
      </c>
      <c r="B69" s="126"/>
      <c r="C69" s="126"/>
      <c r="D69" s="126"/>
      <c r="E69" s="126"/>
      <c r="F69" s="126"/>
      <c r="G69" s="126"/>
      <c r="H69" s="126"/>
      <c r="I69" s="127"/>
      <c r="J69" s="37">
        <f>SUM(J59:J68)</f>
        <v>395.22</v>
      </c>
      <c r="K69" s="35"/>
    </row>
    <row r="70" spans="1:12" s="6" customFormat="1" ht="23.1" customHeight="1" x14ac:dyDescent="0.25">
      <c r="A70" s="162"/>
      <c r="B70" s="129"/>
      <c r="C70" s="129"/>
      <c r="D70" s="129"/>
      <c r="E70" s="129"/>
      <c r="F70" s="129"/>
      <c r="G70" s="129"/>
      <c r="H70" s="129"/>
      <c r="I70" s="129"/>
      <c r="J70" s="129"/>
      <c r="K70" s="35"/>
    </row>
    <row r="71" spans="1:12" s="6" customFormat="1" ht="23.1" customHeight="1" x14ac:dyDescent="0.25">
      <c r="A71" s="128" t="s">
        <v>54</v>
      </c>
      <c r="B71" s="129"/>
      <c r="C71" s="129"/>
      <c r="D71" s="129"/>
      <c r="E71" s="129"/>
      <c r="F71" s="129"/>
      <c r="G71" s="129"/>
      <c r="H71" s="129"/>
      <c r="I71" s="129"/>
      <c r="J71" s="130"/>
      <c r="K71" s="35"/>
    </row>
    <row r="72" spans="1:12" s="6" customFormat="1" ht="23.1" customHeight="1" x14ac:dyDescent="0.25">
      <c r="A72" s="36">
        <v>2</v>
      </c>
      <c r="B72" s="142" t="s">
        <v>55</v>
      </c>
      <c r="C72" s="126"/>
      <c r="D72" s="126"/>
      <c r="E72" s="126"/>
      <c r="F72" s="126"/>
      <c r="G72" s="126"/>
      <c r="H72" s="126"/>
      <c r="I72" s="127"/>
      <c r="J72" s="36" t="s">
        <v>23</v>
      </c>
      <c r="K72" s="35"/>
    </row>
    <row r="73" spans="1:12" s="6" customFormat="1" ht="23.1" customHeight="1" x14ac:dyDescent="0.25">
      <c r="A73" s="7" t="s">
        <v>22</v>
      </c>
      <c r="B73" s="143" t="s">
        <v>110</v>
      </c>
      <c r="C73" s="144"/>
      <c r="D73" s="144"/>
      <c r="E73" s="144"/>
      <c r="F73" s="144"/>
      <c r="G73" s="144"/>
      <c r="H73" s="144"/>
      <c r="I73" s="145"/>
      <c r="J73" s="8">
        <f>J43</f>
        <v>626.33000000000004</v>
      </c>
      <c r="K73" s="35"/>
    </row>
    <row r="74" spans="1:12" s="6" customFormat="1" ht="23.1" customHeight="1" x14ac:dyDescent="0.25">
      <c r="A74" s="7" t="s">
        <v>27</v>
      </c>
      <c r="B74" s="119" t="s">
        <v>28</v>
      </c>
      <c r="C74" s="165"/>
      <c r="D74" s="165"/>
      <c r="E74" s="165"/>
      <c r="F74" s="165"/>
      <c r="G74" s="165"/>
      <c r="H74" s="165"/>
      <c r="I74" s="121"/>
      <c r="J74" s="8">
        <f>J55</f>
        <v>1483.7699999999998</v>
      </c>
      <c r="K74" s="35"/>
    </row>
    <row r="75" spans="1:12" s="6" customFormat="1" ht="23.1" customHeight="1" x14ac:dyDescent="0.25">
      <c r="A75" s="7" t="s">
        <v>45</v>
      </c>
      <c r="B75" s="119" t="s">
        <v>46</v>
      </c>
      <c r="C75" s="165"/>
      <c r="D75" s="165"/>
      <c r="E75" s="165"/>
      <c r="F75" s="165"/>
      <c r="G75" s="165"/>
      <c r="H75" s="165"/>
      <c r="I75" s="121"/>
      <c r="J75" s="8">
        <f>J69</f>
        <v>395.22</v>
      </c>
      <c r="K75" s="35"/>
    </row>
    <row r="76" spans="1:12" s="6" customFormat="1" ht="23.1" customHeight="1" x14ac:dyDescent="0.25">
      <c r="A76" s="171" t="s">
        <v>24</v>
      </c>
      <c r="B76" s="126"/>
      <c r="C76" s="126"/>
      <c r="D76" s="126"/>
      <c r="E76" s="126"/>
      <c r="F76" s="126"/>
      <c r="G76" s="126"/>
      <c r="H76" s="126"/>
      <c r="I76" s="127"/>
      <c r="J76" s="40">
        <f>SUM(J73+J74+J75)</f>
        <v>2505.3199999999997</v>
      </c>
      <c r="K76" s="35"/>
    </row>
    <row r="77" spans="1:12" s="6" customFormat="1" ht="23.1" customHeight="1" x14ac:dyDescent="0.25">
      <c r="A77" s="162"/>
      <c r="B77" s="129"/>
      <c r="C77" s="129"/>
      <c r="D77" s="129"/>
      <c r="E77" s="129"/>
      <c r="F77" s="129"/>
      <c r="G77" s="129"/>
      <c r="H77" s="129"/>
      <c r="I77" s="129"/>
      <c r="J77" s="129"/>
      <c r="K77" s="35"/>
    </row>
    <row r="78" spans="1:12" s="6" customFormat="1" ht="23.1" customHeight="1" x14ac:dyDescent="0.25">
      <c r="A78" s="128" t="s">
        <v>56</v>
      </c>
      <c r="B78" s="129"/>
      <c r="C78" s="129"/>
      <c r="D78" s="129"/>
      <c r="E78" s="129"/>
      <c r="F78" s="129"/>
      <c r="G78" s="129"/>
      <c r="H78" s="129"/>
      <c r="I78" s="129"/>
      <c r="J78" s="130"/>
      <c r="K78" s="35"/>
    </row>
    <row r="79" spans="1:12" s="6" customFormat="1" ht="23.1" customHeight="1" x14ac:dyDescent="0.25">
      <c r="A79" s="38">
        <v>3</v>
      </c>
      <c r="B79" s="142" t="s">
        <v>57</v>
      </c>
      <c r="C79" s="126"/>
      <c r="D79" s="126"/>
      <c r="E79" s="126"/>
      <c r="F79" s="126"/>
      <c r="G79" s="126"/>
      <c r="H79" s="126"/>
      <c r="I79" s="127"/>
      <c r="J79" s="36" t="s">
        <v>23</v>
      </c>
      <c r="K79" s="35"/>
    </row>
    <row r="80" spans="1:12" s="6" customFormat="1" ht="60" customHeight="1" x14ac:dyDescent="0.25">
      <c r="A80" s="10" t="s">
        <v>3</v>
      </c>
      <c r="B80" s="128" t="s">
        <v>114</v>
      </c>
      <c r="C80" s="129"/>
      <c r="D80" s="129"/>
      <c r="E80" s="129"/>
      <c r="F80" s="129"/>
      <c r="G80" s="129"/>
      <c r="H80" s="129"/>
      <c r="I80" s="130"/>
      <c r="J80" s="9">
        <f>ROUND((($J$34/12)+($J$39/12)+($J$34/12/12)+($J$40/12))*(30/30)*0.05,2)</f>
        <v>20.11</v>
      </c>
      <c r="K80" s="35"/>
      <c r="L80" s="19"/>
    </row>
    <row r="81" spans="1:12" s="6" customFormat="1" ht="22.5" customHeight="1" x14ac:dyDescent="0.25">
      <c r="A81" s="10" t="s">
        <v>5</v>
      </c>
      <c r="B81" s="128" t="s">
        <v>58</v>
      </c>
      <c r="C81" s="129"/>
      <c r="D81" s="129"/>
      <c r="E81" s="129"/>
      <c r="F81" s="129"/>
      <c r="G81" s="129"/>
      <c r="H81" s="129"/>
      <c r="I81" s="130"/>
      <c r="J81" s="9">
        <f>ROUND($J$80*I54,2)</f>
        <v>1.61</v>
      </c>
      <c r="K81" s="35"/>
    </row>
    <row r="82" spans="1:12" s="6" customFormat="1" ht="60" customHeight="1" x14ac:dyDescent="0.25">
      <c r="A82" s="10" t="s">
        <v>7</v>
      </c>
      <c r="B82" s="128" t="s">
        <v>115</v>
      </c>
      <c r="C82" s="129"/>
      <c r="D82" s="129"/>
      <c r="E82" s="129"/>
      <c r="F82" s="129"/>
      <c r="G82" s="129"/>
      <c r="H82" s="130"/>
      <c r="I82" s="20">
        <v>1.9E-3</v>
      </c>
      <c r="J82" s="9">
        <f>ROUND($J$34*I82,2)</f>
        <v>7.66</v>
      </c>
      <c r="K82" s="35"/>
    </row>
    <row r="83" spans="1:12" s="6" customFormat="1" ht="60" customHeight="1" x14ac:dyDescent="0.25">
      <c r="A83" s="10" t="s">
        <v>9</v>
      </c>
      <c r="B83" s="128" t="s">
        <v>195</v>
      </c>
      <c r="C83" s="129"/>
      <c r="D83" s="129"/>
      <c r="E83" s="129"/>
      <c r="F83" s="129"/>
      <c r="G83" s="129"/>
      <c r="H83" s="129"/>
      <c r="I83" s="130"/>
      <c r="J83" s="9">
        <f>ROUND(((($J$34/30)*7)/$G$11)*0.1,2)</f>
        <v>1.57</v>
      </c>
      <c r="K83" s="35"/>
      <c r="L83" s="19"/>
    </row>
    <row r="84" spans="1:12" s="6" customFormat="1" ht="22.5" customHeight="1" x14ac:dyDescent="0.25">
      <c r="A84" s="10" t="s">
        <v>36</v>
      </c>
      <c r="B84" s="128" t="s">
        <v>59</v>
      </c>
      <c r="C84" s="129"/>
      <c r="D84" s="129"/>
      <c r="E84" s="129"/>
      <c r="F84" s="129"/>
      <c r="G84" s="129"/>
      <c r="H84" s="129"/>
      <c r="I84" s="130"/>
      <c r="J84" s="9">
        <f>ROUND($I$55*J83,2)</f>
        <v>0.57999999999999996</v>
      </c>
      <c r="K84" s="35"/>
    </row>
    <row r="85" spans="1:12" s="6" customFormat="1" ht="60" customHeight="1" x14ac:dyDescent="0.25">
      <c r="A85" s="10" t="s">
        <v>38</v>
      </c>
      <c r="B85" s="128" t="s">
        <v>117</v>
      </c>
      <c r="C85" s="129"/>
      <c r="D85" s="129"/>
      <c r="E85" s="129"/>
      <c r="F85" s="129"/>
      <c r="G85" s="129"/>
      <c r="H85" s="130"/>
      <c r="I85" s="20">
        <v>3.8100000000000002E-2</v>
      </c>
      <c r="J85" s="9">
        <f>ROUND($J$34*I85,2)</f>
        <v>153.62</v>
      </c>
      <c r="K85" s="35"/>
    </row>
    <row r="86" spans="1:12" s="6" customFormat="1" ht="23.1" customHeight="1" x14ac:dyDescent="0.25">
      <c r="A86" s="172" t="s">
        <v>24</v>
      </c>
      <c r="B86" s="126"/>
      <c r="C86" s="126"/>
      <c r="D86" s="126"/>
      <c r="E86" s="126"/>
      <c r="F86" s="126"/>
      <c r="G86" s="126"/>
      <c r="H86" s="126"/>
      <c r="I86" s="127"/>
      <c r="J86" s="37">
        <f>SUM(J80:J85)</f>
        <v>185.15</v>
      </c>
      <c r="K86" s="35"/>
    </row>
    <row r="87" spans="1:12" s="6" customFormat="1" ht="23.1" customHeight="1" x14ac:dyDescent="0.25">
      <c r="A87" s="162"/>
      <c r="B87" s="129"/>
      <c r="C87" s="129"/>
      <c r="D87" s="129"/>
      <c r="E87" s="129"/>
      <c r="F87" s="129"/>
      <c r="G87" s="129"/>
      <c r="H87" s="129"/>
      <c r="I87" s="129"/>
      <c r="J87" s="129"/>
      <c r="K87" s="35"/>
    </row>
    <row r="88" spans="1:12" s="6" customFormat="1" ht="23.1" customHeight="1" x14ac:dyDescent="0.25">
      <c r="A88" s="128" t="s">
        <v>60</v>
      </c>
      <c r="B88" s="129"/>
      <c r="C88" s="129"/>
      <c r="D88" s="129"/>
      <c r="E88" s="129"/>
      <c r="F88" s="129"/>
      <c r="G88" s="129"/>
      <c r="H88" s="129"/>
      <c r="I88" s="129"/>
      <c r="J88" s="130"/>
      <c r="K88" s="35"/>
    </row>
    <row r="89" spans="1:12" s="6" customFormat="1" ht="23.1" customHeight="1" x14ac:dyDescent="0.25">
      <c r="A89" s="176" t="s">
        <v>61</v>
      </c>
      <c r="B89" s="129"/>
      <c r="C89" s="129"/>
      <c r="D89" s="129"/>
      <c r="E89" s="129"/>
      <c r="F89" s="129"/>
      <c r="G89" s="129"/>
      <c r="H89" s="129"/>
      <c r="I89" s="130"/>
      <c r="J89" s="8">
        <f>J92+J34+J39+J40</f>
        <v>4489.84</v>
      </c>
      <c r="K89" s="35"/>
    </row>
    <row r="90" spans="1:12" s="6" customFormat="1" ht="23.1" customHeight="1" x14ac:dyDescent="0.25">
      <c r="A90" s="157"/>
      <c r="B90" s="158"/>
      <c r="C90" s="158"/>
      <c r="D90" s="158"/>
      <c r="E90" s="158"/>
      <c r="F90" s="158"/>
      <c r="G90" s="158"/>
      <c r="H90" s="158"/>
      <c r="I90" s="158"/>
      <c r="J90" s="159"/>
      <c r="K90" s="35"/>
    </row>
    <row r="91" spans="1:12" s="6" customFormat="1" ht="23.1" customHeight="1" x14ac:dyDescent="0.25">
      <c r="A91" s="38" t="s">
        <v>62</v>
      </c>
      <c r="B91" s="173" t="s">
        <v>63</v>
      </c>
      <c r="C91" s="126"/>
      <c r="D91" s="126"/>
      <c r="E91" s="126"/>
      <c r="F91" s="126"/>
      <c r="G91" s="126"/>
      <c r="H91" s="126"/>
      <c r="I91" s="127"/>
      <c r="J91" s="36" t="s">
        <v>23</v>
      </c>
      <c r="K91" s="35"/>
    </row>
    <row r="92" spans="1:12" s="6" customFormat="1" ht="23.1" customHeight="1" x14ac:dyDescent="0.25">
      <c r="A92" s="10" t="s">
        <v>3</v>
      </c>
      <c r="B92" s="128" t="s">
        <v>64</v>
      </c>
      <c r="C92" s="129"/>
      <c r="D92" s="129"/>
      <c r="E92" s="129"/>
      <c r="F92" s="129"/>
      <c r="G92" s="129"/>
      <c r="H92" s="130"/>
      <c r="I92" s="13">
        <v>0</v>
      </c>
      <c r="J92" s="9">
        <f>ROUND(($J$34*I92),2)</f>
        <v>0</v>
      </c>
      <c r="K92" s="35"/>
    </row>
    <row r="93" spans="1:12" s="6" customFormat="1" ht="23.1" customHeight="1" x14ac:dyDescent="0.25">
      <c r="A93" s="10" t="s">
        <v>5</v>
      </c>
      <c r="B93" s="168" t="s">
        <v>118</v>
      </c>
      <c r="C93" s="129"/>
      <c r="D93" s="129"/>
      <c r="E93" s="129"/>
      <c r="F93" s="129"/>
      <c r="G93" s="129"/>
      <c r="H93" s="129"/>
      <c r="I93" s="130"/>
      <c r="J93" s="9">
        <f>ROUND((($J$89/30)*2.96)/12,2)</f>
        <v>36.92</v>
      </c>
      <c r="K93" s="35"/>
    </row>
    <row r="94" spans="1:12" s="6" customFormat="1" ht="23.1" customHeight="1" x14ac:dyDescent="0.25">
      <c r="A94" s="10" t="s">
        <v>7</v>
      </c>
      <c r="B94" s="168" t="s">
        <v>119</v>
      </c>
      <c r="C94" s="129"/>
      <c r="D94" s="129"/>
      <c r="E94" s="129"/>
      <c r="F94" s="129"/>
      <c r="G94" s="129"/>
      <c r="H94" s="129"/>
      <c r="I94" s="130"/>
      <c r="J94" s="9">
        <f>ROUND((($J$89/30)*5)/12*0.015,2)</f>
        <v>0.94</v>
      </c>
      <c r="K94" s="35"/>
    </row>
    <row r="95" spans="1:12" s="6" customFormat="1" ht="23.1" customHeight="1" x14ac:dyDescent="0.25">
      <c r="A95" s="10" t="s">
        <v>9</v>
      </c>
      <c r="B95" s="168" t="s">
        <v>120</v>
      </c>
      <c r="C95" s="129"/>
      <c r="D95" s="129"/>
      <c r="E95" s="129"/>
      <c r="F95" s="129"/>
      <c r="G95" s="129"/>
      <c r="H95" s="129"/>
      <c r="I95" s="130"/>
      <c r="J95" s="9">
        <f>ROUND(((($J$89/30)*15)/12)*0.0078,2)</f>
        <v>1.46</v>
      </c>
      <c r="K95" s="35"/>
    </row>
    <row r="96" spans="1:12" s="6" customFormat="1" ht="23.1" customHeight="1" x14ac:dyDescent="0.25">
      <c r="A96" s="10" t="s">
        <v>36</v>
      </c>
      <c r="B96" s="168" t="s">
        <v>121</v>
      </c>
      <c r="C96" s="129"/>
      <c r="D96" s="129"/>
      <c r="E96" s="129"/>
      <c r="F96" s="129"/>
      <c r="G96" s="129"/>
      <c r="H96" s="129"/>
      <c r="I96" s="130"/>
      <c r="J96" s="9">
        <f>ROUND(((($J$34+$J$34/3)*4/12)/12)*0.02,2)</f>
        <v>2.99</v>
      </c>
      <c r="K96" s="35"/>
    </row>
    <row r="97" spans="1:11" s="6" customFormat="1" ht="23.1" customHeight="1" x14ac:dyDescent="0.25">
      <c r="A97" s="21" t="s">
        <v>38</v>
      </c>
      <c r="B97" s="177" t="s">
        <v>122</v>
      </c>
      <c r="C97" s="129"/>
      <c r="D97" s="129"/>
      <c r="E97" s="129"/>
      <c r="F97" s="129"/>
      <c r="G97" s="129"/>
      <c r="H97" s="129"/>
      <c r="I97" s="130"/>
      <c r="J97" s="9">
        <f>ROUND(((($J$89/30)*5)/12),2)</f>
        <v>62.36</v>
      </c>
      <c r="K97" s="35"/>
    </row>
    <row r="98" spans="1:11" s="6" customFormat="1" ht="23.1" customHeight="1" x14ac:dyDescent="0.25">
      <c r="A98" s="172" t="s">
        <v>24</v>
      </c>
      <c r="B98" s="126"/>
      <c r="C98" s="126"/>
      <c r="D98" s="126"/>
      <c r="E98" s="126"/>
      <c r="F98" s="126"/>
      <c r="G98" s="126"/>
      <c r="H98" s="126"/>
      <c r="I98" s="127"/>
      <c r="J98" s="37">
        <f>SUM(J92:J97)</f>
        <v>104.67</v>
      </c>
      <c r="K98" s="35"/>
    </row>
    <row r="99" spans="1:11" s="6" customFormat="1" ht="23.1" customHeight="1" x14ac:dyDescent="0.25">
      <c r="A99" s="10" t="s">
        <v>40</v>
      </c>
      <c r="B99" s="168" t="s">
        <v>65</v>
      </c>
      <c r="C99" s="129"/>
      <c r="D99" s="129"/>
      <c r="E99" s="129"/>
      <c r="F99" s="129"/>
      <c r="G99" s="129"/>
      <c r="H99" s="129"/>
      <c r="I99" s="130"/>
      <c r="J99" s="9">
        <f>ROUND(I55*J98,2)</f>
        <v>38.520000000000003</v>
      </c>
      <c r="K99" s="35"/>
    </row>
    <row r="100" spans="1:11" s="6" customFormat="1" ht="23.1" customHeight="1" x14ac:dyDescent="0.25">
      <c r="A100" s="172" t="s">
        <v>24</v>
      </c>
      <c r="B100" s="126"/>
      <c r="C100" s="126"/>
      <c r="D100" s="126"/>
      <c r="E100" s="126"/>
      <c r="F100" s="126"/>
      <c r="G100" s="126"/>
      <c r="H100" s="126"/>
      <c r="I100" s="127"/>
      <c r="J100" s="37">
        <f>SUM(J98:J99)</f>
        <v>143.19</v>
      </c>
      <c r="K100" s="35"/>
    </row>
    <row r="101" spans="1:11" s="6" customFormat="1" ht="23.1" customHeight="1" x14ac:dyDescent="0.25">
      <c r="A101" s="128" t="s">
        <v>66</v>
      </c>
      <c r="B101" s="129"/>
      <c r="C101" s="129"/>
      <c r="D101" s="129"/>
      <c r="E101" s="129"/>
      <c r="F101" s="129"/>
      <c r="G101" s="129"/>
      <c r="H101" s="129"/>
      <c r="I101" s="129"/>
      <c r="J101" s="130"/>
      <c r="K101" s="35"/>
    </row>
    <row r="102" spans="1:11" s="6" customFormat="1" ht="23.1" customHeight="1" x14ac:dyDescent="0.25">
      <c r="A102" s="38" t="s">
        <v>67</v>
      </c>
      <c r="B102" s="173" t="s">
        <v>68</v>
      </c>
      <c r="C102" s="126"/>
      <c r="D102" s="126"/>
      <c r="E102" s="126"/>
      <c r="F102" s="126"/>
      <c r="G102" s="126"/>
      <c r="H102" s="126"/>
      <c r="I102" s="127"/>
      <c r="J102" s="36" t="s">
        <v>23</v>
      </c>
      <c r="K102" s="35"/>
    </row>
    <row r="103" spans="1:11" s="6" customFormat="1" ht="23.1" customHeight="1" x14ac:dyDescent="0.25">
      <c r="A103" s="10" t="s">
        <v>3</v>
      </c>
      <c r="B103" s="168" t="s">
        <v>69</v>
      </c>
      <c r="C103" s="129"/>
      <c r="D103" s="129"/>
      <c r="E103" s="129"/>
      <c r="F103" s="129"/>
      <c r="G103" s="129"/>
      <c r="H103" s="129"/>
      <c r="I103" s="130"/>
      <c r="J103" s="9">
        <v>0</v>
      </c>
      <c r="K103" s="35"/>
    </row>
    <row r="104" spans="1:11" s="6" customFormat="1" ht="23.1" customHeight="1" x14ac:dyDescent="0.25">
      <c r="A104" s="178" t="s">
        <v>24</v>
      </c>
      <c r="B104" s="129"/>
      <c r="C104" s="129"/>
      <c r="D104" s="129"/>
      <c r="E104" s="129"/>
      <c r="F104" s="129"/>
      <c r="G104" s="129"/>
      <c r="H104" s="129"/>
      <c r="I104" s="130"/>
      <c r="J104" s="9">
        <v>0</v>
      </c>
      <c r="K104" s="35"/>
    </row>
    <row r="105" spans="1:11" s="6" customFormat="1" ht="23.1" customHeight="1" x14ac:dyDescent="0.25">
      <c r="A105" s="10" t="s">
        <v>5</v>
      </c>
      <c r="B105" s="168" t="s">
        <v>70</v>
      </c>
      <c r="C105" s="129"/>
      <c r="D105" s="129"/>
      <c r="E105" s="129"/>
      <c r="F105" s="129"/>
      <c r="G105" s="129"/>
      <c r="H105" s="129"/>
      <c r="I105" s="130"/>
      <c r="J105" s="9">
        <f>ROUND(I55*J104,2)</f>
        <v>0</v>
      </c>
      <c r="K105" s="35"/>
    </row>
    <row r="106" spans="1:11" s="6" customFormat="1" ht="23.1" customHeight="1" x14ac:dyDescent="0.25">
      <c r="A106" s="172" t="s">
        <v>24</v>
      </c>
      <c r="B106" s="126"/>
      <c r="C106" s="126"/>
      <c r="D106" s="126"/>
      <c r="E106" s="126"/>
      <c r="F106" s="126"/>
      <c r="G106" s="126"/>
      <c r="H106" s="126"/>
      <c r="I106" s="127"/>
      <c r="J106" s="37">
        <f>SUM(J104:J105)</f>
        <v>0</v>
      </c>
      <c r="K106" s="35"/>
    </row>
    <row r="107" spans="1:11" s="6" customFormat="1" ht="23.1" customHeight="1" x14ac:dyDescent="0.25">
      <c r="A107" s="162"/>
      <c r="B107" s="129"/>
      <c r="C107" s="129"/>
      <c r="D107" s="129"/>
      <c r="E107" s="129"/>
      <c r="F107" s="129"/>
      <c r="G107" s="129"/>
      <c r="H107" s="129"/>
      <c r="I107" s="129"/>
      <c r="J107" s="129"/>
      <c r="K107" s="35"/>
    </row>
    <row r="108" spans="1:11" s="6" customFormat="1" ht="23.1" customHeight="1" x14ac:dyDescent="0.25">
      <c r="A108" s="128" t="s">
        <v>71</v>
      </c>
      <c r="B108" s="129"/>
      <c r="C108" s="129"/>
      <c r="D108" s="129"/>
      <c r="E108" s="129"/>
      <c r="F108" s="129"/>
      <c r="G108" s="129"/>
      <c r="H108" s="129"/>
      <c r="I108" s="129"/>
      <c r="J108" s="130"/>
      <c r="K108" s="35"/>
    </row>
    <row r="109" spans="1:11" s="6" customFormat="1" ht="23.1" customHeight="1" x14ac:dyDescent="0.25">
      <c r="A109" s="36">
        <v>4</v>
      </c>
      <c r="B109" s="142" t="s">
        <v>72</v>
      </c>
      <c r="C109" s="126"/>
      <c r="D109" s="126"/>
      <c r="E109" s="126"/>
      <c r="F109" s="126"/>
      <c r="G109" s="126"/>
      <c r="H109" s="126"/>
      <c r="I109" s="127"/>
      <c r="J109" s="36" t="s">
        <v>23</v>
      </c>
      <c r="K109" s="35"/>
    </row>
    <row r="110" spans="1:11" s="6" customFormat="1" ht="23.1" customHeight="1" x14ac:dyDescent="0.25">
      <c r="A110" s="7" t="s">
        <v>62</v>
      </c>
      <c r="B110" s="128" t="s">
        <v>63</v>
      </c>
      <c r="C110" s="129"/>
      <c r="D110" s="129"/>
      <c r="E110" s="129"/>
      <c r="F110" s="129"/>
      <c r="G110" s="129"/>
      <c r="H110" s="129"/>
      <c r="I110" s="130"/>
      <c r="J110" s="9">
        <f>J100</f>
        <v>143.19</v>
      </c>
      <c r="K110" s="35"/>
    </row>
    <row r="111" spans="1:11" s="6" customFormat="1" ht="23.1" customHeight="1" x14ac:dyDescent="0.25">
      <c r="A111" s="7" t="s">
        <v>73</v>
      </c>
      <c r="B111" s="128" t="s">
        <v>68</v>
      </c>
      <c r="C111" s="129"/>
      <c r="D111" s="129"/>
      <c r="E111" s="129"/>
      <c r="F111" s="129"/>
      <c r="G111" s="129"/>
      <c r="H111" s="129"/>
      <c r="I111" s="130"/>
      <c r="J111" s="9">
        <f>J106</f>
        <v>0</v>
      </c>
      <c r="K111" s="35"/>
    </row>
    <row r="112" spans="1:11" s="6" customFormat="1" ht="23.1" customHeight="1" x14ac:dyDescent="0.25">
      <c r="A112" s="171" t="s">
        <v>24</v>
      </c>
      <c r="B112" s="126"/>
      <c r="C112" s="126"/>
      <c r="D112" s="126"/>
      <c r="E112" s="126"/>
      <c r="F112" s="126"/>
      <c r="G112" s="126"/>
      <c r="H112" s="126"/>
      <c r="I112" s="127"/>
      <c r="J112" s="37">
        <f>SUM(J110+J111)</f>
        <v>143.19</v>
      </c>
      <c r="K112" s="35"/>
    </row>
    <row r="113" spans="1:23" s="6" customFormat="1" ht="23.1" customHeight="1" x14ac:dyDescent="0.25">
      <c r="A113" s="162"/>
      <c r="B113" s="129"/>
      <c r="C113" s="129"/>
      <c r="D113" s="129"/>
      <c r="E113" s="129"/>
      <c r="F113" s="129"/>
      <c r="G113" s="129"/>
      <c r="H113" s="129"/>
      <c r="I113" s="129"/>
      <c r="J113" s="129"/>
      <c r="K113" s="35"/>
    </row>
    <row r="114" spans="1:23" s="6" customFormat="1" ht="23.1" customHeight="1" x14ac:dyDescent="0.25">
      <c r="A114" s="128" t="s">
        <v>74</v>
      </c>
      <c r="B114" s="129"/>
      <c r="C114" s="129"/>
      <c r="D114" s="129"/>
      <c r="E114" s="129"/>
      <c r="F114" s="129"/>
      <c r="G114" s="129"/>
      <c r="H114" s="129"/>
      <c r="I114" s="129"/>
      <c r="J114" s="130"/>
      <c r="K114" s="35"/>
    </row>
    <row r="115" spans="1:23" s="6" customFormat="1" ht="23.1" customHeight="1" x14ac:dyDescent="0.25">
      <c r="A115" s="38">
        <v>5</v>
      </c>
      <c r="B115" s="173" t="s">
        <v>75</v>
      </c>
      <c r="C115" s="126"/>
      <c r="D115" s="126"/>
      <c r="E115" s="126"/>
      <c r="F115" s="126"/>
      <c r="G115" s="126"/>
      <c r="H115" s="126"/>
      <c r="I115" s="127"/>
      <c r="J115" s="36" t="s">
        <v>23</v>
      </c>
      <c r="K115" s="35"/>
    </row>
    <row r="116" spans="1:23" s="6" customFormat="1" ht="23.1" customHeight="1" x14ac:dyDescent="0.25">
      <c r="A116" s="10" t="s">
        <v>3</v>
      </c>
      <c r="B116" s="168" t="s">
        <v>76</v>
      </c>
      <c r="C116" s="129"/>
      <c r="D116" s="129"/>
      <c r="E116" s="129"/>
      <c r="F116" s="129"/>
      <c r="G116" s="129"/>
      <c r="H116" s="129"/>
      <c r="I116" s="130"/>
      <c r="J116" s="67">
        <f>'INSUMOS - PF'!K7</f>
        <v>2.4900000000000002</v>
      </c>
      <c r="K116" s="35"/>
    </row>
    <row r="117" spans="1:23" s="6" customFormat="1" ht="23.1" customHeight="1" x14ac:dyDescent="0.25">
      <c r="A117" s="10" t="s">
        <v>5</v>
      </c>
      <c r="B117" s="168" t="s">
        <v>77</v>
      </c>
      <c r="C117" s="129"/>
      <c r="D117" s="129"/>
      <c r="E117" s="129"/>
      <c r="F117" s="129"/>
      <c r="G117" s="129"/>
      <c r="H117" s="129"/>
      <c r="I117" s="130"/>
      <c r="J117" s="68">
        <f>'INSUMOS - PF'!K15</f>
        <v>0</v>
      </c>
      <c r="K117" s="35"/>
    </row>
    <row r="118" spans="1:23" s="6" customFormat="1" ht="23.1" customHeight="1" x14ac:dyDescent="0.25">
      <c r="A118" s="10" t="s">
        <v>7</v>
      </c>
      <c r="B118" s="168" t="s">
        <v>78</v>
      </c>
      <c r="C118" s="129"/>
      <c r="D118" s="129"/>
      <c r="E118" s="129"/>
      <c r="F118" s="129"/>
      <c r="G118" s="129"/>
      <c r="H118" s="129"/>
      <c r="I118" s="130"/>
      <c r="J118" s="68">
        <f>'INSUMOS - PF'!K23</f>
        <v>7.59</v>
      </c>
      <c r="K118" s="35"/>
    </row>
    <row r="119" spans="1:23" s="6" customFormat="1" ht="23.1" customHeight="1" x14ac:dyDescent="0.25">
      <c r="A119" s="10" t="s">
        <v>9</v>
      </c>
      <c r="B119" s="239" t="s">
        <v>127</v>
      </c>
      <c r="C119" s="229"/>
      <c r="D119" s="229"/>
      <c r="E119" s="229"/>
      <c r="F119" s="229"/>
      <c r="G119" s="229"/>
      <c r="H119" s="229"/>
      <c r="I119" s="230"/>
      <c r="J119" s="54"/>
      <c r="K119" s="35"/>
    </row>
    <row r="120" spans="1:23" s="6" customFormat="1" ht="23.1" customHeight="1" x14ac:dyDescent="0.25">
      <c r="A120" s="172" t="s">
        <v>19</v>
      </c>
      <c r="B120" s="126"/>
      <c r="C120" s="126"/>
      <c r="D120" s="126"/>
      <c r="E120" s="126"/>
      <c r="F120" s="126"/>
      <c r="G120" s="126"/>
      <c r="H120" s="126"/>
      <c r="I120" s="127"/>
      <c r="J120" s="40">
        <f>SUM(J116:J119)</f>
        <v>10.08</v>
      </c>
      <c r="K120" s="35"/>
    </row>
    <row r="121" spans="1:23" s="6" customFormat="1" ht="23.1" customHeight="1" x14ac:dyDescent="0.25">
      <c r="A121" s="162"/>
      <c r="B121" s="129"/>
      <c r="C121" s="129"/>
      <c r="D121" s="129"/>
      <c r="E121" s="129"/>
      <c r="F121" s="129"/>
      <c r="G121" s="129"/>
      <c r="H121" s="129"/>
      <c r="I121" s="129"/>
      <c r="J121" s="129"/>
      <c r="K121" s="35"/>
    </row>
    <row r="122" spans="1:23" s="6" customFormat="1" ht="23.1" customHeight="1" x14ac:dyDescent="0.25">
      <c r="A122" s="128" t="s">
        <v>80</v>
      </c>
      <c r="B122" s="129"/>
      <c r="C122" s="129"/>
      <c r="D122" s="129"/>
      <c r="E122" s="129"/>
      <c r="F122" s="129"/>
      <c r="G122" s="129"/>
      <c r="H122" s="129"/>
      <c r="I122" s="129"/>
      <c r="J122" s="130"/>
      <c r="K122" s="35"/>
      <c r="R122" s="1"/>
      <c r="S122" s="1"/>
      <c r="T122" s="1"/>
      <c r="U122" s="1"/>
      <c r="V122" s="1"/>
    </row>
    <row r="123" spans="1:23" s="6" customFormat="1" ht="23.1" customHeight="1" x14ac:dyDescent="0.25">
      <c r="A123" s="38">
        <v>6</v>
      </c>
      <c r="B123" s="173" t="s">
        <v>81</v>
      </c>
      <c r="C123" s="126"/>
      <c r="D123" s="126"/>
      <c r="E123" s="126"/>
      <c r="F123" s="126"/>
      <c r="G123" s="126"/>
      <c r="H123" s="127"/>
      <c r="I123" s="36" t="s">
        <v>29</v>
      </c>
      <c r="J123" s="36" t="s">
        <v>23</v>
      </c>
      <c r="K123" s="35"/>
      <c r="R123" s="1"/>
      <c r="S123" s="1"/>
      <c r="T123" s="1"/>
      <c r="U123" s="1"/>
      <c r="V123" s="1"/>
    </row>
    <row r="124" spans="1:23" s="6" customFormat="1" ht="23.1" customHeight="1" x14ac:dyDescent="0.25">
      <c r="A124" s="174" t="s">
        <v>82</v>
      </c>
      <c r="B124" s="129"/>
      <c r="C124" s="129"/>
      <c r="D124" s="129"/>
      <c r="E124" s="129"/>
      <c r="F124" s="129"/>
      <c r="G124" s="129"/>
      <c r="H124" s="130"/>
      <c r="I124" s="22" t="s">
        <v>47</v>
      </c>
      <c r="J124" s="23">
        <f>SUM(J34+J76+J86+J112+J120)</f>
        <v>6875.7399999999989</v>
      </c>
      <c r="K124" s="35"/>
      <c r="R124" s="2"/>
      <c r="S124" s="3"/>
      <c r="T124" s="3"/>
      <c r="U124" s="3"/>
      <c r="V124" s="1"/>
    </row>
    <row r="125" spans="1:23" s="6" customFormat="1" ht="23.1" customHeight="1" x14ac:dyDescent="0.25">
      <c r="A125" s="10" t="s">
        <v>3</v>
      </c>
      <c r="B125" s="168" t="s">
        <v>83</v>
      </c>
      <c r="C125" s="129"/>
      <c r="D125" s="129"/>
      <c r="E125" s="129"/>
      <c r="F125" s="129"/>
      <c r="G125" s="129"/>
      <c r="H125" s="130"/>
      <c r="I125" s="48">
        <v>0.05</v>
      </c>
      <c r="J125" s="9">
        <f>ROUND(I125*J124,2)</f>
        <v>343.79</v>
      </c>
      <c r="K125" s="35"/>
      <c r="N125" s="19"/>
      <c r="R125" s="4"/>
      <c r="S125" s="3"/>
      <c r="T125" s="3"/>
      <c r="U125" s="3"/>
      <c r="V125" s="1"/>
    </row>
    <row r="126" spans="1:23" s="6" customFormat="1" ht="23.1" customHeight="1" x14ac:dyDescent="0.25">
      <c r="A126" s="174" t="s">
        <v>84</v>
      </c>
      <c r="B126" s="129"/>
      <c r="C126" s="129"/>
      <c r="D126" s="129"/>
      <c r="E126" s="129"/>
      <c r="F126" s="129"/>
      <c r="G126" s="129"/>
      <c r="H126" s="130"/>
      <c r="I126" s="24" t="s">
        <v>47</v>
      </c>
      <c r="J126" s="23">
        <f>SUM(J34+J76+J86+J112+J120+J125)</f>
        <v>7219.5299999999988</v>
      </c>
      <c r="K126" s="35"/>
      <c r="N126" s="19"/>
      <c r="R126" s="2"/>
      <c r="S126" s="3"/>
      <c r="T126" s="3"/>
      <c r="U126" s="3"/>
      <c r="V126" s="3"/>
      <c r="W126" s="25"/>
    </row>
    <row r="127" spans="1:23" s="6" customFormat="1" ht="23.1" customHeight="1" x14ac:dyDescent="0.25">
      <c r="A127" s="10" t="s">
        <v>5</v>
      </c>
      <c r="B127" s="168" t="s">
        <v>85</v>
      </c>
      <c r="C127" s="129"/>
      <c r="D127" s="129"/>
      <c r="E127" s="129"/>
      <c r="F127" s="129"/>
      <c r="G127" s="129"/>
      <c r="H127" s="130"/>
      <c r="I127" s="47">
        <v>6.7900000000000002E-2</v>
      </c>
      <c r="J127" s="9">
        <f>ROUND(I127*J126,2)</f>
        <v>490.21</v>
      </c>
      <c r="K127" s="35"/>
      <c r="R127" s="2"/>
      <c r="S127" s="3"/>
      <c r="T127" s="3"/>
      <c r="U127" s="3"/>
      <c r="V127" s="3"/>
      <c r="W127" s="25"/>
    </row>
    <row r="128" spans="1:23" s="6" customFormat="1" ht="23.1" customHeight="1" x14ac:dyDescent="0.25">
      <c r="A128" s="174" t="s">
        <v>86</v>
      </c>
      <c r="B128" s="129"/>
      <c r="C128" s="129"/>
      <c r="D128" s="129"/>
      <c r="E128" s="129"/>
      <c r="F128" s="129"/>
      <c r="G128" s="129"/>
      <c r="H128" s="130"/>
      <c r="I128" s="24" t="s">
        <v>47</v>
      </c>
      <c r="J128" s="23">
        <f>SUM(J34+J76+J86+J112+J120+J125+J127)</f>
        <v>7709.7399999999989</v>
      </c>
      <c r="K128" s="35"/>
      <c r="R128" s="2"/>
      <c r="S128" s="3"/>
      <c r="T128" s="3"/>
      <c r="U128" s="3"/>
      <c r="V128" s="3"/>
      <c r="W128" s="25"/>
    </row>
    <row r="129" spans="1:23" s="6" customFormat="1" ht="23.1" customHeight="1" x14ac:dyDescent="0.25">
      <c r="A129" s="10" t="s">
        <v>7</v>
      </c>
      <c r="B129" s="168" t="s">
        <v>87</v>
      </c>
      <c r="C129" s="129"/>
      <c r="D129" s="129"/>
      <c r="E129" s="129"/>
      <c r="F129" s="129"/>
      <c r="G129" s="129"/>
      <c r="H129" s="130"/>
      <c r="I129" s="11" t="s">
        <v>47</v>
      </c>
      <c r="J129" s="17" t="s">
        <v>47</v>
      </c>
      <c r="K129" s="35"/>
      <c r="R129" s="2"/>
      <c r="S129" s="3"/>
      <c r="T129" s="3"/>
      <c r="U129" s="3"/>
      <c r="V129" s="3"/>
      <c r="W129" s="25"/>
    </row>
    <row r="130" spans="1:23" s="6" customFormat="1" ht="23.1" customHeight="1" x14ac:dyDescent="0.25">
      <c r="A130" s="10"/>
      <c r="B130" s="168" t="s">
        <v>88</v>
      </c>
      <c r="C130" s="129"/>
      <c r="D130" s="129"/>
      <c r="E130" s="129"/>
      <c r="F130" s="129"/>
      <c r="G130" s="129"/>
      <c r="H130" s="130"/>
      <c r="I130" s="11" t="s">
        <v>47</v>
      </c>
      <c r="J130" s="17" t="s">
        <v>47</v>
      </c>
      <c r="K130" s="35"/>
      <c r="R130" s="2"/>
      <c r="S130" s="3"/>
      <c r="T130" s="3"/>
      <c r="U130" s="3"/>
      <c r="V130" s="3"/>
      <c r="W130" s="25"/>
    </row>
    <row r="131" spans="1:23" s="6" customFormat="1" ht="23.1" customHeight="1" x14ac:dyDescent="0.25">
      <c r="A131" s="10"/>
      <c r="B131" s="168" t="s">
        <v>123</v>
      </c>
      <c r="C131" s="129"/>
      <c r="D131" s="129"/>
      <c r="E131" s="129"/>
      <c r="F131" s="129"/>
      <c r="G131" s="129"/>
      <c r="H131" s="130"/>
      <c r="I131" s="44">
        <v>7.5999999999999998E-2</v>
      </c>
      <c r="J131" s="9">
        <f t="shared" ref="J131:J132" si="3">ROUND(($J$128/(1-$I$140))*I131,2)</f>
        <v>660.21</v>
      </c>
      <c r="K131" s="35"/>
      <c r="R131" s="4"/>
      <c r="S131" s="3"/>
      <c r="T131" s="3"/>
      <c r="U131" s="3"/>
      <c r="V131" s="3"/>
      <c r="W131" s="25"/>
    </row>
    <row r="132" spans="1:23" s="6" customFormat="1" ht="23.1" customHeight="1" x14ac:dyDescent="0.25">
      <c r="A132" s="10"/>
      <c r="B132" s="168" t="s">
        <v>124</v>
      </c>
      <c r="C132" s="129"/>
      <c r="D132" s="129"/>
      <c r="E132" s="129"/>
      <c r="F132" s="129"/>
      <c r="G132" s="129"/>
      <c r="H132" s="130"/>
      <c r="I132" s="44">
        <v>1.6500000000000001E-2</v>
      </c>
      <c r="J132" s="9">
        <f t="shared" si="3"/>
        <v>143.34</v>
      </c>
      <c r="K132" s="35"/>
      <c r="R132" s="2"/>
      <c r="S132" s="3"/>
      <c r="T132" s="3"/>
      <c r="U132" s="3"/>
      <c r="V132" s="3"/>
      <c r="W132" s="25"/>
    </row>
    <row r="133" spans="1:23" s="6" customFormat="1" ht="23.1" customHeight="1" x14ac:dyDescent="0.25">
      <c r="A133" s="10"/>
      <c r="B133" s="128" t="s">
        <v>89</v>
      </c>
      <c r="C133" s="129"/>
      <c r="D133" s="129"/>
      <c r="E133" s="129"/>
      <c r="F133" s="129"/>
      <c r="G133" s="129"/>
      <c r="H133" s="130"/>
      <c r="I133" s="26" t="s">
        <v>47</v>
      </c>
      <c r="J133" s="17" t="s">
        <v>47</v>
      </c>
      <c r="K133" s="35"/>
      <c r="R133" s="4"/>
      <c r="S133" s="3"/>
      <c r="T133" s="3"/>
      <c r="U133" s="3"/>
      <c r="V133" s="3"/>
      <c r="W133" s="25"/>
    </row>
    <row r="134" spans="1:23" s="6" customFormat="1" ht="23.1" customHeight="1" x14ac:dyDescent="0.25">
      <c r="A134" s="10"/>
      <c r="B134" s="128" t="s">
        <v>90</v>
      </c>
      <c r="C134" s="129"/>
      <c r="D134" s="129"/>
      <c r="E134" s="129"/>
      <c r="F134" s="129"/>
      <c r="G134" s="129"/>
      <c r="H134" s="130"/>
      <c r="I134" s="26" t="s">
        <v>47</v>
      </c>
      <c r="J134" s="17" t="s">
        <v>47</v>
      </c>
      <c r="K134" s="35"/>
      <c r="R134" s="1"/>
      <c r="S134" s="3"/>
      <c r="T134" s="3"/>
      <c r="U134" s="3"/>
      <c r="V134" s="3"/>
      <c r="W134" s="25"/>
    </row>
    <row r="135" spans="1:23" s="6" customFormat="1" ht="23.1" customHeight="1" x14ac:dyDescent="0.25">
      <c r="A135" s="10"/>
      <c r="B135" s="168" t="s">
        <v>91</v>
      </c>
      <c r="C135" s="129"/>
      <c r="D135" s="129"/>
      <c r="E135" s="129"/>
      <c r="F135" s="129"/>
      <c r="G135" s="129"/>
      <c r="H135" s="130"/>
      <c r="I135" s="26" t="s">
        <v>47</v>
      </c>
      <c r="J135" s="17" t="s">
        <v>47</v>
      </c>
      <c r="K135" s="35"/>
      <c r="R135" s="1"/>
      <c r="S135" s="3"/>
      <c r="T135" s="3"/>
      <c r="U135" s="3"/>
      <c r="V135" s="3"/>
      <c r="W135" s="25"/>
    </row>
    <row r="136" spans="1:23" s="6" customFormat="1" ht="23.1" customHeight="1" x14ac:dyDescent="0.25">
      <c r="A136" s="10"/>
      <c r="B136" s="168" t="s">
        <v>92</v>
      </c>
      <c r="C136" s="129"/>
      <c r="D136" s="129"/>
      <c r="E136" s="129"/>
      <c r="F136" s="129"/>
      <c r="G136" s="129"/>
      <c r="H136" s="130"/>
      <c r="I136" s="26" t="s">
        <v>47</v>
      </c>
      <c r="J136" s="17" t="s">
        <v>47</v>
      </c>
      <c r="K136" s="35"/>
    </row>
    <row r="137" spans="1:23" s="6" customFormat="1" ht="23.1" customHeight="1" x14ac:dyDescent="0.25">
      <c r="A137" s="10"/>
      <c r="B137" s="168" t="s">
        <v>125</v>
      </c>
      <c r="C137" s="129"/>
      <c r="D137" s="129"/>
      <c r="E137" s="129"/>
      <c r="F137" s="129"/>
      <c r="G137" s="129"/>
      <c r="H137" s="130"/>
      <c r="I137" s="113">
        <v>0.02</v>
      </c>
      <c r="J137" s="9">
        <f>ROUND(($J$128/(1-$I$140))*I137,2)</f>
        <v>173.74</v>
      </c>
      <c r="K137" s="35"/>
    </row>
    <row r="138" spans="1:23" s="6" customFormat="1" ht="23.1" customHeight="1" x14ac:dyDescent="0.25">
      <c r="A138" s="172" t="s">
        <v>24</v>
      </c>
      <c r="B138" s="126"/>
      <c r="C138" s="126"/>
      <c r="D138" s="126"/>
      <c r="E138" s="126"/>
      <c r="F138" s="126"/>
      <c r="G138" s="126"/>
      <c r="H138" s="126"/>
      <c r="I138" s="127"/>
      <c r="J138" s="37">
        <f>SUM(J125+J127+J131+J132+J137)</f>
        <v>1811.29</v>
      </c>
      <c r="K138" s="35"/>
    </row>
    <row r="139" spans="1:23" s="6" customFormat="1" ht="23.1" customHeight="1" x14ac:dyDescent="0.25">
      <c r="A139" s="162"/>
      <c r="B139" s="129"/>
      <c r="C139" s="129"/>
      <c r="D139" s="129"/>
      <c r="E139" s="129"/>
      <c r="F139" s="129"/>
      <c r="G139" s="129"/>
      <c r="H139" s="129"/>
      <c r="I139" s="129"/>
      <c r="J139" s="129"/>
      <c r="K139" s="35"/>
    </row>
    <row r="140" spans="1:23" s="6" customFormat="1" ht="23.1" customHeight="1" x14ac:dyDescent="0.25">
      <c r="A140" s="185" t="s">
        <v>93</v>
      </c>
      <c r="B140" s="129"/>
      <c r="C140" s="129"/>
      <c r="D140" s="129"/>
      <c r="E140" s="129"/>
      <c r="F140" s="129"/>
      <c r="G140" s="129"/>
      <c r="H140" s="130"/>
      <c r="I140" s="27">
        <f t="shared" ref="I140:J140" si="4">SUM(I131:I137)</f>
        <v>0.1125</v>
      </c>
      <c r="J140" s="23">
        <f t="shared" si="4"/>
        <v>977.29000000000008</v>
      </c>
      <c r="K140" s="35"/>
    </row>
    <row r="141" spans="1:23" s="6" customFormat="1" ht="23.1" customHeight="1" x14ac:dyDescent="0.25">
      <c r="A141" s="186" t="s">
        <v>94</v>
      </c>
      <c r="B141" s="187"/>
      <c r="C141" s="188"/>
      <c r="D141" s="193" t="s">
        <v>95</v>
      </c>
      <c r="E141" s="194"/>
      <c r="F141" s="194"/>
      <c r="G141" s="194"/>
      <c r="H141" s="194"/>
      <c r="I141" s="194"/>
      <c r="J141" s="195"/>
      <c r="K141" s="35"/>
    </row>
    <row r="142" spans="1:23" s="6" customFormat="1" ht="23.1" customHeight="1" x14ac:dyDescent="0.25">
      <c r="A142" s="189"/>
      <c r="B142" s="190"/>
      <c r="C142" s="191"/>
      <c r="D142" s="196" t="s">
        <v>96</v>
      </c>
      <c r="E142" s="197"/>
      <c r="F142" s="197"/>
      <c r="G142" s="197"/>
      <c r="H142" s="197"/>
      <c r="I142" s="197"/>
      <c r="J142" s="198"/>
      <c r="K142" s="35"/>
    </row>
    <row r="143" spans="1:23" s="6" customFormat="1" ht="23.1" customHeight="1" x14ac:dyDescent="0.25">
      <c r="A143" s="192"/>
      <c r="B143" s="158"/>
      <c r="C143" s="159"/>
      <c r="D143" s="199" t="s">
        <v>97</v>
      </c>
      <c r="E143" s="200"/>
      <c r="F143" s="200"/>
      <c r="G143" s="200"/>
      <c r="H143" s="200"/>
      <c r="I143" s="200"/>
      <c r="J143" s="201"/>
      <c r="K143" s="35"/>
    </row>
    <row r="144" spans="1:23" s="6" customFormat="1" ht="23.1" customHeight="1" x14ac:dyDescent="0.25">
      <c r="A144" s="162"/>
      <c r="B144" s="129"/>
      <c r="C144" s="129"/>
      <c r="D144" s="129"/>
      <c r="E144" s="129"/>
      <c r="F144" s="129"/>
      <c r="G144" s="129"/>
      <c r="H144" s="129"/>
      <c r="I144" s="129"/>
      <c r="J144" s="129"/>
      <c r="K144" s="35"/>
    </row>
    <row r="145" spans="1:11" s="6" customFormat="1" ht="23.1" customHeight="1" x14ac:dyDescent="0.25">
      <c r="A145" s="181" t="s">
        <v>133</v>
      </c>
      <c r="B145" s="182"/>
      <c r="C145" s="182"/>
      <c r="D145" s="182"/>
      <c r="E145" s="182"/>
      <c r="F145" s="182"/>
      <c r="G145" s="182"/>
      <c r="H145" s="182"/>
      <c r="I145" s="182"/>
      <c r="J145" s="183"/>
      <c r="K145" s="35"/>
    </row>
    <row r="146" spans="1:11" s="6" customFormat="1" ht="23.1" customHeight="1" x14ac:dyDescent="0.25">
      <c r="A146" s="184" t="s">
        <v>98</v>
      </c>
      <c r="B146" s="126"/>
      <c r="C146" s="126"/>
      <c r="D146" s="126"/>
      <c r="E146" s="126"/>
      <c r="F146" s="126"/>
      <c r="G146" s="126"/>
      <c r="H146" s="126"/>
      <c r="I146" s="127"/>
      <c r="J146" s="36" t="s">
        <v>23</v>
      </c>
      <c r="K146" s="35"/>
    </row>
    <row r="147" spans="1:11" s="6" customFormat="1" ht="23.1" customHeight="1" x14ac:dyDescent="0.25">
      <c r="A147" s="28" t="s">
        <v>3</v>
      </c>
      <c r="B147" s="179" t="s">
        <v>99</v>
      </c>
      <c r="C147" s="129"/>
      <c r="D147" s="129"/>
      <c r="E147" s="129"/>
      <c r="F147" s="129"/>
      <c r="G147" s="129"/>
      <c r="H147" s="129"/>
      <c r="I147" s="130"/>
      <c r="J147" s="8">
        <f>J34</f>
        <v>4032</v>
      </c>
      <c r="K147" s="35"/>
    </row>
    <row r="148" spans="1:11" s="6" customFormat="1" ht="23.1" customHeight="1" x14ac:dyDescent="0.25">
      <c r="A148" s="28" t="s">
        <v>5</v>
      </c>
      <c r="B148" s="179" t="s">
        <v>20</v>
      </c>
      <c r="C148" s="129"/>
      <c r="D148" s="129"/>
      <c r="E148" s="129"/>
      <c r="F148" s="129"/>
      <c r="G148" s="129"/>
      <c r="H148" s="129"/>
      <c r="I148" s="130"/>
      <c r="J148" s="8">
        <f>J76</f>
        <v>2505.3199999999997</v>
      </c>
      <c r="K148" s="35"/>
    </row>
    <row r="149" spans="1:11" s="6" customFormat="1" ht="23.1" customHeight="1" x14ac:dyDescent="0.25">
      <c r="A149" s="28" t="s">
        <v>7</v>
      </c>
      <c r="B149" s="179" t="s">
        <v>100</v>
      </c>
      <c r="C149" s="129"/>
      <c r="D149" s="129"/>
      <c r="E149" s="129"/>
      <c r="F149" s="129"/>
      <c r="G149" s="129"/>
      <c r="H149" s="129"/>
      <c r="I149" s="130"/>
      <c r="J149" s="8">
        <f>J86</f>
        <v>185.15</v>
      </c>
      <c r="K149" s="35"/>
    </row>
    <row r="150" spans="1:11" s="6" customFormat="1" ht="23.1" customHeight="1" x14ac:dyDescent="0.25">
      <c r="A150" s="28" t="s">
        <v>9</v>
      </c>
      <c r="B150" s="179" t="s">
        <v>101</v>
      </c>
      <c r="C150" s="129"/>
      <c r="D150" s="129"/>
      <c r="E150" s="129"/>
      <c r="F150" s="129"/>
      <c r="G150" s="129"/>
      <c r="H150" s="129"/>
      <c r="I150" s="130"/>
      <c r="J150" s="8">
        <f>J112</f>
        <v>143.19</v>
      </c>
      <c r="K150" s="35"/>
    </row>
    <row r="151" spans="1:11" s="6" customFormat="1" ht="23.1" customHeight="1" x14ac:dyDescent="0.25">
      <c r="A151" s="28" t="s">
        <v>36</v>
      </c>
      <c r="B151" s="179" t="s">
        <v>102</v>
      </c>
      <c r="C151" s="129"/>
      <c r="D151" s="129"/>
      <c r="E151" s="129"/>
      <c r="F151" s="129"/>
      <c r="G151" s="129"/>
      <c r="H151" s="129"/>
      <c r="I151" s="130"/>
      <c r="J151" s="8">
        <f>J120</f>
        <v>10.08</v>
      </c>
      <c r="K151" s="35"/>
    </row>
    <row r="152" spans="1:11" s="6" customFormat="1" ht="23.1" customHeight="1" x14ac:dyDescent="0.25">
      <c r="A152" s="180" t="s">
        <v>103</v>
      </c>
      <c r="B152" s="126"/>
      <c r="C152" s="126"/>
      <c r="D152" s="126"/>
      <c r="E152" s="126"/>
      <c r="F152" s="126"/>
      <c r="G152" s="126"/>
      <c r="H152" s="126"/>
      <c r="I152" s="127"/>
      <c r="J152" s="40">
        <f>SUM(J147:J151)</f>
        <v>6875.7399999999989</v>
      </c>
      <c r="K152" s="35"/>
    </row>
    <row r="153" spans="1:11" s="6" customFormat="1" ht="23.1" customHeight="1" x14ac:dyDescent="0.25">
      <c r="A153" s="28" t="s">
        <v>38</v>
      </c>
      <c r="B153" s="179" t="s">
        <v>104</v>
      </c>
      <c r="C153" s="129"/>
      <c r="D153" s="129"/>
      <c r="E153" s="129"/>
      <c r="F153" s="129"/>
      <c r="G153" s="129"/>
      <c r="H153" s="129"/>
      <c r="I153" s="130"/>
      <c r="J153" s="8">
        <f>J138</f>
        <v>1811.29</v>
      </c>
      <c r="K153" s="35"/>
    </row>
    <row r="154" spans="1:11" s="6" customFormat="1" ht="48.75" customHeight="1" x14ac:dyDescent="0.25">
      <c r="A154" s="180" t="s">
        <v>105</v>
      </c>
      <c r="B154" s="126"/>
      <c r="C154" s="126"/>
      <c r="D154" s="126"/>
      <c r="E154" s="126"/>
      <c r="F154" s="126"/>
      <c r="G154" s="126"/>
      <c r="H154" s="126"/>
      <c r="I154" s="127"/>
      <c r="J154" s="40">
        <f>SUM(J152:J153)</f>
        <v>8687.0299999999988</v>
      </c>
      <c r="K154" s="35"/>
    </row>
    <row r="155" spans="1:11" ht="44.25" hidden="1" customHeight="1" x14ac:dyDescent="0.25"/>
    <row r="156" spans="1:11" ht="44.25" hidden="1" customHeight="1" x14ac:dyDescent="0.25"/>
    <row r="157" spans="1:11" ht="44.25" hidden="1" customHeight="1" x14ac:dyDescent="0.25"/>
  </sheetData>
  <mergeCells count="168">
    <mergeCell ref="A5:G5"/>
    <mergeCell ref="H5:J5"/>
    <mergeCell ref="A7:J7"/>
    <mergeCell ref="B8:F8"/>
    <mergeCell ref="G8:J8"/>
    <mergeCell ref="B9:F9"/>
    <mergeCell ref="G9:J9"/>
    <mergeCell ref="A1:G1"/>
    <mergeCell ref="H1:J1"/>
    <mergeCell ref="A2:J2"/>
    <mergeCell ref="A3:G3"/>
    <mergeCell ref="H3:J3"/>
    <mergeCell ref="A4:G4"/>
    <mergeCell ref="H4:J4"/>
    <mergeCell ref="A15:J15"/>
    <mergeCell ref="B16:H16"/>
    <mergeCell ref="I16:J16"/>
    <mergeCell ref="B17:H17"/>
    <mergeCell ref="I17:J17"/>
    <mergeCell ref="B18:H18"/>
    <mergeCell ref="I18:J18"/>
    <mergeCell ref="B10:F10"/>
    <mergeCell ref="G10:J10"/>
    <mergeCell ref="B11:F11"/>
    <mergeCell ref="G11:J11"/>
    <mergeCell ref="A13:J13"/>
    <mergeCell ref="A14:J14"/>
    <mergeCell ref="B22:H22"/>
    <mergeCell ref="I22:J22"/>
    <mergeCell ref="A23:J23"/>
    <mergeCell ref="A24:J24"/>
    <mergeCell ref="B25:H25"/>
    <mergeCell ref="B26:G26"/>
    <mergeCell ref="B19:H19"/>
    <mergeCell ref="I19:J19"/>
    <mergeCell ref="B20:H20"/>
    <mergeCell ref="I20:J20"/>
    <mergeCell ref="B21:H21"/>
    <mergeCell ref="I21:J21"/>
    <mergeCell ref="B33:H33"/>
    <mergeCell ref="A34:I34"/>
    <mergeCell ref="A35:J35"/>
    <mergeCell ref="A36:J36"/>
    <mergeCell ref="A37:J37"/>
    <mergeCell ref="B38:I38"/>
    <mergeCell ref="B27:H27"/>
    <mergeCell ref="B28:H28"/>
    <mergeCell ref="B29:H29"/>
    <mergeCell ref="B30:H30"/>
    <mergeCell ref="B31:H31"/>
    <mergeCell ref="B32:H32"/>
    <mergeCell ref="A45:J45"/>
    <mergeCell ref="B46:H46"/>
    <mergeCell ref="B47:H47"/>
    <mergeCell ref="B48:H48"/>
    <mergeCell ref="B49:D49"/>
    <mergeCell ref="B50:H50"/>
    <mergeCell ref="B39:H39"/>
    <mergeCell ref="B40:H40"/>
    <mergeCell ref="A41:I41"/>
    <mergeCell ref="B42:I42"/>
    <mergeCell ref="A43:I43"/>
    <mergeCell ref="A44:J44"/>
    <mergeCell ref="A57:J57"/>
    <mergeCell ref="B58:I58"/>
    <mergeCell ref="B59:I59"/>
    <mergeCell ref="B60:H60"/>
    <mergeCell ref="B61:H61"/>
    <mergeCell ref="B62:H62"/>
    <mergeCell ref="B51:H51"/>
    <mergeCell ref="B52:H52"/>
    <mergeCell ref="B53:H53"/>
    <mergeCell ref="B54:H54"/>
    <mergeCell ref="A55:H55"/>
    <mergeCell ref="A56:J56"/>
    <mergeCell ref="A69:I69"/>
    <mergeCell ref="A70:J70"/>
    <mergeCell ref="A71:J71"/>
    <mergeCell ref="B72:I72"/>
    <mergeCell ref="B73:I73"/>
    <mergeCell ref="B74:I74"/>
    <mergeCell ref="B63:I63"/>
    <mergeCell ref="B64:H64"/>
    <mergeCell ref="B65:H65"/>
    <mergeCell ref="B66:H66"/>
    <mergeCell ref="B67:I67"/>
    <mergeCell ref="B68:I68"/>
    <mergeCell ref="B81:I81"/>
    <mergeCell ref="B82:H82"/>
    <mergeCell ref="B83:I83"/>
    <mergeCell ref="B84:I84"/>
    <mergeCell ref="B85:H85"/>
    <mergeCell ref="A86:I86"/>
    <mergeCell ref="B75:I75"/>
    <mergeCell ref="A76:I76"/>
    <mergeCell ref="A77:J77"/>
    <mergeCell ref="A78:J78"/>
    <mergeCell ref="B79:I79"/>
    <mergeCell ref="B80:I80"/>
    <mergeCell ref="B93:I93"/>
    <mergeCell ref="B94:I94"/>
    <mergeCell ref="B95:I95"/>
    <mergeCell ref="B96:I96"/>
    <mergeCell ref="B97:I97"/>
    <mergeCell ref="A98:I98"/>
    <mergeCell ref="A87:J87"/>
    <mergeCell ref="A88:J88"/>
    <mergeCell ref="A89:I89"/>
    <mergeCell ref="A90:J90"/>
    <mergeCell ref="B91:I91"/>
    <mergeCell ref="B92:H92"/>
    <mergeCell ref="B105:I105"/>
    <mergeCell ref="A106:I106"/>
    <mergeCell ref="A107:J107"/>
    <mergeCell ref="A108:J108"/>
    <mergeCell ref="B109:I109"/>
    <mergeCell ref="B110:I110"/>
    <mergeCell ref="B99:I99"/>
    <mergeCell ref="A100:I100"/>
    <mergeCell ref="A101:J101"/>
    <mergeCell ref="B102:I102"/>
    <mergeCell ref="B103:I103"/>
    <mergeCell ref="A104:I104"/>
    <mergeCell ref="B117:I117"/>
    <mergeCell ref="B118:I118"/>
    <mergeCell ref="B119:I119"/>
    <mergeCell ref="A120:I120"/>
    <mergeCell ref="A121:J121"/>
    <mergeCell ref="A122:J122"/>
    <mergeCell ref="B111:I111"/>
    <mergeCell ref="A112:I112"/>
    <mergeCell ref="A113:J113"/>
    <mergeCell ref="A114:J114"/>
    <mergeCell ref="B115:I115"/>
    <mergeCell ref="B116:I116"/>
    <mergeCell ref="B129:H129"/>
    <mergeCell ref="B130:H130"/>
    <mergeCell ref="B131:H131"/>
    <mergeCell ref="B132:H132"/>
    <mergeCell ref="B133:H133"/>
    <mergeCell ref="B134:H134"/>
    <mergeCell ref="B123:H123"/>
    <mergeCell ref="A124:H124"/>
    <mergeCell ref="B125:H125"/>
    <mergeCell ref="A126:H126"/>
    <mergeCell ref="B127:H127"/>
    <mergeCell ref="A128:H128"/>
    <mergeCell ref="A141:C143"/>
    <mergeCell ref="D141:J141"/>
    <mergeCell ref="D142:J142"/>
    <mergeCell ref="D143:J143"/>
    <mergeCell ref="A144:J144"/>
    <mergeCell ref="A145:J145"/>
    <mergeCell ref="B135:H135"/>
    <mergeCell ref="B136:H136"/>
    <mergeCell ref="B137:H137"/>
    <mergeCell ref="A138:I138"/>
    <mergeCell ref="A139:J139"/>
    <mergeCell ref="A140:H140"/>
    <mergeCell ref="A152:I152"/>
    <mergeCell ref="B153:I153"/>
    <mergeCell ref="A154:I154"/>
    <mergeCell ref="A146:I146"/>
    <mergeCell ref="B147:I147"/>
    <mergeCell ref="B148:I148"/>
    <mergeCell ref="B149:I149"/>
    <mergeCell ref="B150:I150"/>
    <mergeCell ref="B151:I151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65" fitToHeight="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view="pageBreakPreview" topLeftCell="G9" zoomScaleNormal="100" zoomScaleSheetLayoutView="100" workbookViewId="0">
      <selection activeCell="K21" sqref="K21"/>
    </sheetView>
  </sheetViews>
  <sheetFormatPr defaultRowHeight="15" x14ac:dyDescent="0.25"/>
  <cols>
    <col min="1" max="1" width="15.7109375" hidden="1" customWidth="1"/>
    <col min="2" max="2" width="0" hidden="1" customWidth="1"/>
    <col min="3" max="3" width="11.28515625" hidden="1" customWidth="1"/>
    <col min="4" max="4" width="13" hidden="1" customWidth="1"/>
    <col min="5" max="5" width="11.7109375" hidden="1" customWidth="1"/>
    <col min="6" max="6" width="0" hidden="1" customWidth="1"/>
    <col min="7" max="7" width="42.7109375" customWidth="1"/>
    <col min="8" max="10" width="12.7109375" customWidth="1"/>
    <col min="11" max="11" width="15.7109375" customWidth="1"/>
    <col min="13" max="13" width="10.85546875" customWidth="1"/>
    <col min="14" max="14" width="13.7109375" customWidth="1"/>
    <col min="15" max="15" width="16.85546875" bestFit="1" customWidth="1"/>
  </cols>
  <sheetData>
    <row r="1" spans="7:11" s="5" customFormat="1" ht="30" customHeight="1" x14ac:dyDescent="0.25">
      <c r="G1" s="250" t="s">
        <v>184</v>
      </c>
      <c r="H1" s="250"/>
      <c r="I1" s="250"/>
      <c r="J1" s="250"/>
      <c r="K1" s="250"/>
    </row>
    <row r="2" spans="7:11" ht="45.75" customHeight="1" x14ac:dyDescent="0.25">
      <c r="G2" s="72" t="s">
        <v>162</v>
      </c>
      <c r="H2" s="72" t="s">
        <v>158</v>
      </c>
      <c r="I2" s="78" t="s">
        <v>187</v>
      </c>
      <c r="J2" s="72" t="s">
        <v>159</v>
      </c>
      <c r="K2" s="72" t="s">
        <v>163</v>
      </c>
    </row>
    <row r="3" spans="7:11" x14ac:dyDescent="0.25">
      <c r="G3" s="62" t="s">
        <v>189</v>
      </c>
      <c r="H3" s="65" t="s">
        <v>158</v>
      </c>
      <c r="I3" s="81">
        <f>'RESUMO - PF'!H5</f>
        <v>4</v>
      </c>
      <c r="J3" s="83">
        <v>29.9</v>
      </c>
      <c r="K3" s="84">
        <f t="shared" ref="K3:K4" si="0">(I3*J3)</f>
        <v>119.6</v>
      </c>
    </row>
    <row r="4" spans="7:11" x14ac:dyDescent="0.25">
      <c r="G4" s="82"/>
      <c r="H4" s="66"/>
      <c r="I4" s="81">
        <f>'RESUMO - PF'!H5</f>
        <v>4</v>
      </c>
      <c r="J4" s="83"/>
      <c r="K4" s="84">
        <f t="shared" si="0"/>
        <v>0</v>
      </c>
    </row>
    <row r="5" spans="7:11" x14ac:dyDescent="0.25">
      <c r="G5" s="240" t="s">
        <v>190</v>
      </c>
      <c r="H5" s="240"/>
      <c r="I5" s="240"/>
      <c r="J5" s="240"/>
      <c r="K5" s="70">
        <f>SUM(K3:K4)</f>
        <v>119.6</v>
      </c>
    </row>
    <row r="6" spans="7:11" x14ac:dyDescent="0.25">
      <c r="G6" s="240" t="s">
        <v>191</v>
      </c>
      <c r="H6" s="240"/>
      <c r="I6" s="240"/>
      <c r="J6" s="240"/>
      <c r="K6" s="69">
        <f>ROUND(K5/12,2)</f>
        <v>9.9700000000000006</v>
      </c>
    </row>
    <row r="7" spans="7:11" x14ac:dyDescent="0.25">
      <c r="G7" s="240" t="s">
        <v>200</v>
      </c>
      <c r="H7" s="240"/>
      <c r="I7" s="240"/>
      <c r="J7" s="240"/>
      <c r="K7" s="69">
        <f>ROUND(K6/'RESUMO - PF'!H5,2)</f>
        <v>2.4900000000000002</v>
      </c>
    </row>
    <row r="8" spans="7:11" ht="60" customHeight="1" x14ac:dyDescent="0.25">
      <c r="G8" s="61"/>
      <c r="H8" s="61"/>
      <c r="I8" s="61"/>
      <c r="J8" s="61"/>
      <c r="K8" s="61"/>
    </row>
    <row r="9" spans="7:11" s="5" customFormat="1" ht="30" customHeight="1" x14ac:dyDescent="0.25">
      <c r="G9" s="241" t="s">
        <v>185</v>
      </c>
      <c r="H9" s="242"/>
      <c r="I9" s="242"/>
      <c r="J9" s="242"/>
      <c r="K9" s="243"/>
    </row>
    <row r="10" spans="7:11" ht="45" x14ac:dyDescent="0.25">
      <c r="G10" s="72" t="s">
        <v>188</v>
      </c>
      <c r="H10" s="72" t="s">
        <v>158</v>
      </c>
      <c r="I10" s="78" t="s">
        <v>187</v>
      </c>
      <c r="J10" s="72" t="s">
        <v>159</v>
      </c>
      <c r="K10" s="72" t="s">
        <v>160</v>
      </c>
    </row>
    <row r="11" spans="7:11" x14ac:dyDescent="0.25">
      <c r="G11" s="82"/>
      <c r="H11" s="66"/>
      <c r="I11" s="81">
        <f>'RESUMO - PF'!H5</f>
        <v>4</v>
      </c>
      <c r="J11" s="83">
        <v>0</v>
      </c>
      <c r="K11" s="84">
        <f>(I11*J11)</f>
        <v>0</v>
      </c>
    </row>
    <row r="12" spans="7:11" x14ac:dyDescent="0.25">
      <c r="G12" s="82"/>
      <c r="H12" s="66"/>
      <c r="I12" s="81">
        <f>'RESUMO - PF'!H5</f>
        <v>4</v>
      </c>
      <c r="J12" s="83">
        <v>0</v>
      </c>
      <c r="K12" s="84">
        <f t="shared" ref="K12" si="1">(I12*J12)</f>
        <v>0</v>
      </c>
    </row>
    <row r="13" spans="7:11" x14ac:dyDescent="0.25">
      <c r="G13" s="244" t="s">
        <v>192</v>
      </c>
      <c r="H13" s="245"/>
      <c r="I13" s="245"/>
      <c r="J13" s="246"/>
      <c r="K13" s="70">
        <f>SUM(K11:K12)</f>
        <v>0</v>
      </c>
    </row>
    <row r="14" spans="7:11" x14ac:dyDescent="0.25">
      <c r="G14" s="244" t="s">
        <v>193</v>
      </c>
      <c r="H14" s="245"/>
      <c r="I14" s="245"/>
      <c r="J14" s="246"/>
      <c r="K14" s="69">
        <f>ROUND(K13/12,2)</f>
        <v>0</v>
      </c>
    </row>
    <row r="15" spans="7:11" x14ac:dyDescent="0.25">
      <c r="G15" s="240" t="s">
        <v>201</v>
      </c>
      <c r="H15" s="240"/>
      <c r="I15" s="240"/>
      <c r="J15" s="240"/>
      <c r="K15" s="69">
        <f>ROUND(K14/'RESUMO - PF'!H5,2)</f>
        <v>0</v>
      </c>
    </row>
    <row r="16" spans="7:11" ht="60" customHeight="1" x14ac:dyDescent="0.25">
      <c r="G16" s="61"/>
      <c r="H16" s="61"/>
      <c r="I16" s="61"/>
      <c r="J16" s="61"/>
      <c r="K16" s="61"/>
    </row>
    <row r="17" spans="7:11" s="91" customFormat="1" ht="30" customHeight="1" x14ac:dyDescent="0.25">
      <c r="G17" s="247" t="s">
        <v>186</v>
      </c>
      <c r="H17" s="248"/>
      <c r="I17" s="248"/>
      <c r="J17" s="248"/>
      <c r="K17" s="249"/>
    </row>
    <row r="18" spans="7:11" ht="45" x14ac:dyDescent="0.25">
      <c r="G18" s="72" t="s">
        <v>161</v>
      </c>
      <c r="H18" s="72" t="s">
        <v>158</v>
      </c>
      <c r="I18" s="78" t="s">
        <v>187</v>
      </c>
      <c r="J18" s="72" t="s">
        <v>159</v>
      </c>
      <c r="K18" s="72" t="s">
        <v>160</v>
      </c>
    </row>
    <row r="19" spans="7:11" ht="39" x14ac:dyDescent="0.25">
      <c r="G19" s="62" t="s">
        <v>164</v>
      </c>
      <c r="H19" s="92" t="s">
        <v>168</v>
      </c>
      <c r="I19" s="81">
        <f>'RESUMO - PF'!H5</f>
        <v>4</v>
      </c>
      <c r="J19" s="83">
        <v>1820.63</v>
      </c>
      <c r="K19" s="84">
        <f>J19/9*9</f>
        <v>1820.63</v>
      </c>
    </row>
    <row r="20" spans="7:11" x14ac:dyDescent="0.25">
      <c r="G20" s="82"/>
      <c r="H20" s="86"/>
      <c r="I20" s="81">
        <f>'RESUMO - PF'!H5</f>
        <v>4</v>
      </c>
      <c r="J20" s="83"/>
      <c r="K20" s="84">
        <v>0</v>
      </c>
    </row>
    <row r="21" spans="7:11" x14ac:dyDescent="0.25">
      <c r="G21" s="240" t="s">
        <v>178</v>
      </c>
      <c r="H21" s="240"/>
      <c r="I21" s="240"/>
      <c r="J21" s="240"/>
      <c r="K21" s="71">
        <f>SUM(K19:K20)</f>
        <v>1820.63</v>
      </c>
    </row>
    <row r="22" spans="7:11" x14ac:dyDescent="0.25">
      <c r="G22" s="244" t="s">
        <v>179</v>
      </c>
      <c r="H22" s="245"/>
      <c r="I22" s="245"/>
      <c r="J22" s="246"/>
      <c r="K22" s="71">
        <f>ROUND(K21/'RESUMO - PF'!G9,2)</f>
        <v>30.34</v>
      </c>
    </row>
    <row r="23" spans="7:11" x14ac:dyDescent="0.25">
      <c r="G23" s="240" t="s">
        <v>202</v>
      </c>
      <c r="H23" s="240"/>
      <c r="I23" s="240"/>
      <c r="J23" s="240"/>
      <c r="K23" s="85">
        <f>ROUND(K22/'RESUMO - PF'!H5,2)</f>
        <v>7.59</v>
      </c>
    </row>
  </sheetData>
  <mergeCells count="12">
    <mergeCell ref="G6:J6"/>
    <mergeCell ref="G1:K1"/>
    <mergeCell ref="G5:J5"/>
    <mergeCell ref="G21:J21"/>
    <mergeCell ref="G22:J22"/>
    <mergeCell ref="G7:J7"/>
    <mergeCell ref="G23:J23"/>
    <mergeCell ref="G9:K9"/>
    <mergeCell ref="G13:J13"/>
    <mergeCell ref="G14:J14"/>
    <mergeCell ref="G15:J15"/>
    <mergeCell ref="G17:K17"/>
  </mergeCells>
  <pageMargins left="0.59055118110236227" right="0.51181102362204722" top="0.39370078740157483" bottom="0.78740157480314965" header="0.31496062992125984" footer="0.31496062992125984"/>
  <pageSetup paperSize="9" scale="90" orientation="portrait" r:id="rId1"/>
  <colBreaks count="1" manualBreakCount="1">
    <brk id="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29"/>
  <sheetViews>
    <sheetView view="pageBreakPreview" zoomScale="90" zoomScaleNormal="100" zoomScaleSheetLayoutView="90" workbookViewId="0">
      <selection activeCell="B4" sqref="B4"/>
    </sheetView>
  </sheetViews>
  <sheetFormatPr defaultColWidth="0" defaultRowHeight="15" zeroHeight="1" x14ac:dyDescent="0.25"/>
  <cols>
    <col min="1" max="1" width="6.85546875" customWidth="1"/>
    <col min="2" max="2" width="43.85546875" customWidth="1"/>
    <col min="3" max="7" width="17.7109375" customWidth="1"/>
    <col min="8" max="8" width="14.42578125" customWidth="1"/>
    <col min="9" max="9" width="0.7109375" customWidth="1"/>
    <col min="10" max="10" width="9.140625" hidden="1"/>
    <col min="11" max="16383" width="3" hidden="1"/>
    <col min="16384" max="16384" width="2" hidden="1"/>
  </cols>
  <sheetData>
    <row r="1" spans="1:9" ht="39.950000000000003" customHeight="1" thickBot="1" x14ac:dyDescent="0.3">
      <c r="A1" s="253" t="s">
        <v>148</v>
      </c>
      <c r="B1" s="254"/>
      <c r="C1" s="254"/>
      <c r="D1" s="254"/>
      <c r="E1" s="254"/>
      <c r="F1" s="254"/>
      <c r="G1" s="254"/>
      <c r="H1" s="255"/>
      <c r="I1" s="61"/>
    </row>
    <row r="2" spans="1:9" ht="39.950000000000003" customHeight="1" thickBot="1" x14ac:dyDescent="0.3">
      <c r="A2" s="99" t="s">
        <v>166</v>
      </c>
      <c r="B2" s="100" t="s">
        <v>149</v>
      </c>
      <c r="C2" s="100" t="s">
        <v>150</v>
      </c>
      <c r="D2" s="100" t="s">
        <v>151</v>
      </c>
      <c r="E2" s="100" t="s">
        <v>152</v>
      </c>
      <c r="F2" s="100" t="s">
        <v>153</v>
      </c>
      <c r="G2" s="101" t="s">
        <v>154</v>
      </c>
      <c r="H2" s="102" t="s">
        <v>187</v>
      </c>
      <c r="I2" s="61"/>
    </row>
    <row r="3" spans="1:9" ht="39.950000000000003" customHeight="1" x14ac:dyDescent="0.25">
      <c r="A3" s="93">
        <v>1</v>
      </c>
      <c r="B3" s="94" t="s">
        <v>182</v>
      </c>
      <c r="C3" s="95">
        <f>'TILS 20H - PF'!J154</f>
        <v>4502.13</v>
      </c>
      <c r="D3" s="111">
        <v>2</v>
      </c>
      <c r="E3" s="96">
        <f t="shared" ref="E3:E4" si="0">C3*D3</f>
        <v>9004.26</v>
      </c>
      <c r="F3" s="117">
        <v>1</v>
      </c>
      <c r="G3" s="97">
        <f>E3*F3</f>
        <v>9004.26</v>
      </c>
      <c r="H3" s="98">
        <f>D3*F3</f>
        <v>2</v>
      </c>
      <c r="I3" s="61"/>
    </row>
    <row r="4" spans="1:9" ht="39.950000000000003" customHeight="1" thickBot="1" x14ac:dyDescent="0.3">
      <c r="A4" s="87">
        <v>2</v>
      </c>
      <c r="B4" s="88" t="s">
        <v>183</v>
      </c>
      <c r="C4" s="89">
        <f>'TILS 40H - PF'!J154</f>
        <v>8687.0299999999988</v>
      </c>
      <c r="D4" s="112">
        <v>2</v>
      </c>
      <c r="E4" s="90">
        <f t="shared" si="0"/>
        <v>17374.059999999998</v>
      </c>
      <c r="F4" s="118">
        <v>1</v>
      </c>
      <c r="G4" s="58">
        <f>E4*F4</f>
        <v>17374.059999999998</v>
      </c>
      <c r="H4" s="76">
        <f>D4*F4</f>
        <v>2</v>
      </c>
      <c r="I4" s="61"/>
    </row>
    <row r="5" spans="1:9" ht="39.950000000000003" customHeight="1" thickBot="1" x14ac:dyDescent="0.3">
      <c r="A5" s="258" t="s">
        <v>165</v>
      </c>
      <c r="B5" s="259"/>
      <c r="C5" s="259"/>
      <c r="D5" s="259"/>
      <c r="E5" s="259"/>
      <c r="F5" s="260"/>
      <c r="G5" s="107">
        <f>SUM(G3:G4)</f>
        <v>26378.32</v>
      </c>
      <c r="H5" s="77">
        <f>H3+H4</f>
        <v>4</v>
      </c>
      <c r="I5" s="61"/>
    </row>
    <row r="6" spans="1:9" ht="39.950000000000003" customHeight="1" thickBot="1" x14ac:dyDescent="0.3">
      <c r="A6" s="105"/>
      <c r="B6" s="105"/>
      <c r="C6" s="105"/>
      <c r="D6" s="105"/>
      <c r="E6" s="105"/>
      <c r="F6" s="105"/>
      <c r="G6" s="106"/>
      <c r="H6" s="104"/>
      <c r="I6" s="61"/>
    </row>
    <row r="7" spans="1:9" ht="39.950000000000003" customHeight="1" thickBot="1" x14ac:dyDescent="0.3">
      <c r="A7" s="253" t="s">
        <v>155</v>
      </c>
      <c r="B7" s="263"/>
      <c r="C7" s="263"/>
      <c r="D7" s="263"/>
      <c r="E7" s="263"/>
      <c r="F7" s="263"/>
      <c r="G7" s="264"/>
      <c r="H7" s="74"/>
      <c r="I7" s="61"/>
    </row>
    <row r="8" spans="1:9" ht="39.950000000000003" customHeight="1" x14ac:dyDescent="0.25">
      <c r="A8" s="59" t="s">
        <v>40</v>
      </c>
      <c r="B8" s="256" t="s">
        <v>167</v>
      </c>
      <c r="C8" s="257"/>
      <c r="D8" s="257"/>
      <c r="E8" s="257"/>
      <c r="F8" s="257"/>
      <c r="G8" s="103">
        <f>G5</f>
        <v>26378.32</v>
      </c>
      <c r="H8" s="75"/>
      <c r="I8" s="61"/>
    </row>
    <row r="9" spans="1:9" ht="39.950000000000003" customHeight="1" x14ac:dyDescent="0.25">
      <c r="A9" s="60" t="s">
        <v>42</v>
      </c>
      <c r="B9" s="261" t="s">
        <v>156</v>
      </c>
      <c r="C9" s="262"/>
      <c r="D9" s="262"/>
      <c r="E9" s="262"/>
      <c r="F9" s="262"/>
      <c r="G9" s="73">
        <v>60</v>
      </c>
      <c r="H9" s="75"/>
      <c r="I9" s="61"/>
    </row>
    <row r="10" spans="1:9" ht="39.950000000000003" customHeight="1" thickBot="1" x14ac:dyDescent="0.3">
      <c r="A10" s="109" t="s">
        <v>196</v>
      </c>
      <c r="B10" s="251" t="s">
        <v>157</v>
      </c>
      <c r="C10" s="252"/>
      <c r="D10" s="252"/>
      <c r="E10" s="252"/>
      <c r="F10" s="252"/>
      <c r="G10" s="110">
        <f>G8*G9</f>
        <v>1582699.2</v>
      </c>
      <c r="H10" s="75"/>
      <c r="I10" s="61"/>
    </row>
    <row r="11" spans="1:9" hidden="1" x14ac:dyDescent="0.25">
      <c r="A11" s="61"/>
      <c r="B11" s="61"/>
      <c r="C11" s="61"/>
      <c r="D11" s="61"/>
      <c r="E11" s="61"/>
      <c r="F11" s="61"/>
      <c r="G11" s="61"/>
      <c r="H11" s="61"/>
    </row>
    <row r="12" spans="1:9" hidden="1" x14ac:dyDescent="0.25">
      <c r="A12" s="61"/>
      <c r="B12" s="61"/>
      <c r="C12" s="61"/>
      <c r="D12" s="61"/>
      <c r="E12" s="61"/>
      <c r="F12" s="61"/>
      <c r="G12" s="61"/>
      <c r="H12" s="61"/>
    </row>
    <row r="13" spans="1:9" hidden="1" x14ac:dyDescent="0.25">
      <c r="A13" s="61"/>
      <c r="B13" s="61"/>
      <c r="C13" s="61"/>
      <c r="D13" s="61"/>
      <c r="E13" s="61"/>
      <c r="F13" s="61"/>
      <c r="G13" s="61"/>
      <c r="H13" s="61"/>
    </row>
    <row r="14" spans="1:9" hidden="1" x14ac:dyDescent="0.25">
      <c r="A14" s="61"/>
      <c r="B14" s="61"/>
      <c r="C14" s="61"/>
      <c r="D14" s="61"/>
      <c r="E14" s="61"/>
      <c r="F14" s="61"/>
      <c r="G14" s="61"/>
      <c r="H14" s="61"/>
    </row>
    <row r="15" spans="1:9" hidden="1" x14ac:dyDescent="0.25">
      <c r="A15" s="61"/>
      <c r="B15" s="61"/>
      <c r="C15" s="61"/>
      <c r="D15" s="61"/>
      <c r="E15" s="61"/>
      <c r="F15" s="61"/>
      <c r="G15" s="61"/>
      <c r="H15" s="61"/>
    </row>
    <row r="16" spans="1:9" hidden="1" x14ac:dyDescent="0.25">
      <c r="A16" s="61"/>
      <c r="B16" s="61"/>
      <c r="C16" s="61"/>
      <c r="D16" s="61"/>
      <c r="E16" s="61"/>
      <c r="F16" s="61"/>
      <c r="G16" s="61"/>
      <c r="H16" s="61"/>
    </row>
    <row r="17" spans="1:8" hidden="1" x14ac:dyDescent="0.25">
      <c r="A17" s="61"/>
      <c r="B17" s="61"/>
      <c r="C17" s="61"/>
      <c r="D17" s="61"/>
      <c r="E17" s="61"/>
      <c r="F17" s="61"/>
      <c r="G17" s="61"/>
      <c r="H17" s="61"/>
    </row>
    <row r="18" spans="1:8" hidden="1" x14ac:dyDescent="0.25">
      <c r="A18" s="61"/>
      <c r="B18" s="61"/>
      <c r="C18" s="61"/>
      <c r="D18" s="61"/>
      <c r="E18" s="61"/>
      <c r="F18" s="61"/>
      <c r="G18" s="61"/>
      <c r="H18" s="61"/>
    </row>
    <row r="19" spans="1:8" hidden="1" x14ac:dyDescent="0.25">
      <c r="A19" s="61"/>
      <c r="B19" s="61"/>
      <c r="C19" s="61"/>
      <c r="D19" s="61"/>
      <c r="E19" s="61"/>
      <c r="F19" s="61"/>
      <c r="G19" s="61"/>
      <c r="H19" s="61"/>
    </row>
    <row r="20" spans="1:8" hidden="1" x14ac:dyDescent="0.25">
      <c r="A20" s="61"/>
      <c r="B20" s="61"/>
      <c r="C20" s="61"/>
      <c r="D20" s="61"/>
      <c r="E20" s="61"/>
      <c r="F20" s="61"/>
      <c r="G20" s="61"/>
      <c r="H20" s="61"/>
    </row>
    <row r="21" spans="1:8" hidden="1" x14ac:dyDescent="0.25">
      <c r="A21" s="61"/>
      <c r="B21" s="61"/>
      <c r="C21" s="61"/>
      <c r="D21" s="61"/>
      <c r="E21" s="61"/>
      <c r="F21" s="61"/>
      <c r="G21" s="61"/>
      <c r="H21" s="61"/>
    </row>
    <row r="22" spans="1:8" hidden="1" x14ac:dyDescent="0.25">
      <c r="A22" s="61"/>
      <c r="B22" s="61"/>
      <c r="C22" s="61"/>
      <c r="D22" s="61"/>
      <c r="E22" s="61"/>
      <c r="F22" s="61"/>
      <c r="G22" s="61"/>
      <c r="H22" s="61"/>
    </row>
    <row r="23" spans="1:8" hidden="1" x14ac:dyDescent="0.25">
      <c r="B23" s="61"/>
      <c r="C23" s="61"/>
      <c r="D23" s="61"/>
      <c r="E23" s="61"/>
      <c r="F23" s="61"/>
      <c r="G23" s="61"/>
      <c r="H23" s="61"/>
    </row>
    <row r="24" spans="1:8" hidden="1" x14ac:dyDescent="0.25">
      <c r="B24" s="61"/>
      <c r="C24" s="61"/>
      <c r="D24" s="61"/>
      <c r="E24" s="61"/>
      <c r="F24" s="61"/>
      <c r="G24" s="61"/>
      <c r="H24" s="61"/>
    </row>
    <row r="25" spans="1:8" hidden="1" x14ac:dyDescent="0.25">
      <c r="B25" s="61"/>
      <c r="C25" s="61"/>
      <c r="D25" s="61"/>
      <c r="E25" s="61"/>
      <c r="F25" s="61"/>
      <c r="G25" s="61"/>
      <c r="H25" s="61"/>
    </row>
    <row r="26" spans="1:8" hidden="1" x14ac:dyDescent="0.25">
      <c r="B26" s="61"/>
      <c r="C26" s="61"/>
      <c r="D26" s="61"/>
      <c r="E26" s="61"/>
      <c r="F26" s="61"/>
      <c r="G26" s="61"/>
      <c r="H26" s="61"/>
    </row>
    <row r="27" spans="1:8" hidden="1" x14ac:dyDescent="0.25">
      <c r="B27" s="61"/>
      <c r="C27" s="61"/>
      <c r="D27" s="61"/>
      <c r="E27" s="61"/>
      <c r="F27" s="61"/>
      <c r="G27" s="61"/>
      <c r="H27" s="61"/>
    </row>
    <row r="28" spans="1:8" hidden="1" x14ac:dyDescent="0.25">
      <c r="B28" s="61"/>
      <c r="C28" s="61"/>
      <c r="D28" s="61"/>
      <c r="E28" s="61"/>
      <c r="F28" s="61"/>
      <c r="G28" s="61"/>
      <c r="H28" s="61"/>
    </row>
    <row r="29" spans="1:8" hidden="1" x14ac:dyDescent="0.25">
      <c r="B29" s="61"/>
      <c r="C29" s="61"/>
      <c r="D29" s="61"/>
      <c r="E29" s="61"/>
      <c r="F29" s="61"/>
      <c r="G29" s="61"/>
      <c r="H29" s="61"/>
    </row>
  </sheetData>
  <mergeCells count="6">
    <mergeCell ref="B10:F10"/>
    <mergeCell ref="A1:H1"/>
    <mergeCell ref="B8:F8"/>
    <mergeCell ref="A5:F5"/>
    <mergeCell ref="B9:F9"/>
    <mergeCell ref="A7:G7"/>
  </mergeCells>
  <pageMargins left="0.39370078740157483" right="0.39370078740157483" top="0.78740157480314965" bottom="0.78740157480314965" header="0.31496062992125984" footer="0.31496062992125984"/>
  <pageSetup paperSize="9" scale="6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0"/>
  <sheetViews>
    <sheetView workbookViewId="0">
      <selection activeCell="E3" sqref="E3"/>
    </sheetView>
  </sheetViews>
  <sheetFormatPr defaultRowHeight="15" x14ac:dyDescent="0.25"/>
  <cols>
    <col min="2" max="2" width="43.140625" bestFit="1" customWidth="1"/>
    <col min="4" max="10" width="13.28515625" bestFit="1" customWidth="1"/>
    <col min="11" max="11" width="14.28515625" bestFit="1" customWidth="1"/>
  </cols>
  <sheetData>
    <row r="1" spans="2:11" x14ac:dyDescent="0.25">
      <c r="C1" t="s">
        <v>170</v>
      </c>
      <c r="D1">
        <v>1</v>
      </c>
      <c r="E1">
        <v>2</v>
      </c>
      <c r="F1">
        <v>3</v>
      </c>
      <c r="G1">
        <v>4</v>
      </c>
      <c r="H1">
        <v>5</v>
      </c>
      <c r="I1">
        <v>6</v>
      </c>
      <c r="J1">
        <v>7</v>
      </c>
      <c r="K1" t="s">
        <v>169</v>
      </c>
    </row>
    <row r="2" spans="2:11" x14ac:dyDescent="0.25">
      <c r="B2" t="s">
        <v>172</v>
      </c>
      <c r="C2" t="s">
        <v>174</v>
      </c>
      <c r="D2" s="63">
        <v>68495.399999999994</v>
      </c>
      <c r="E2" s="63">
        <v>63977.88</v>
      </c>
      <c r="F2" s="63">
        <v>48025.8</v>
      </c>
      <c r="G2" s="63">
        <v>42788.4</v>
      </c>
      <c r="H2" s="63">
        <v>47600</v>
      </c>
      <c r="I2" s="63">
        <v>84605.28</v>
      </c>
      <c r="J2" s="63">
        <v>88186.8</v>
      </c>
      <c r="K2" s="63">
        <f>SUM(D2:J2)</f>
        <v>443679.56</v>
      </c>
    </row>
    <row r="3" spans="2:11" x14ac:dyDescent="0.25">
      <c r="B3" t="s">
        <v>171</v>
      </c>
      <c r="C3" t="s">
        <v>173</v>
      </c>
      <c r="D3" s="64">
        <v>57498.33</v>
      </c>
      <c r="E3" s="64">
        <v>57560.5</v>
      </c>
      <c r="F3" s="63">
        <v>48191.32</v>
      </c>
      <c r="G3" s="63">
        <v>48191.32</v>
      </c>
      <c r="H3" s="63">
        <v>50489.89</v>
      </c>
      <c r="I3" s="63">
        <v>94522.880000000005</v>
      </c>
      <c r="J3" s="63">
        <v>98063.83</v>
      </c>
      <c r="K3" s="63">
        <f>SUM(D3:J3)</f>
        <v>454518.07</v>
      </c>
    </row>
    <row r="4" spans="2:11" x14ac:dyDescent="0.25">
      <c r="B4" t="s">
        <v>176</v>
      </c>
      <c r="C4" t="s">
        <v>174</v>
      </c>
      <c r="D4" s="63">
        <v>72079.44</v>
      </c>
      <c r="E4" s="63">
        <v>67699.08</v>
      </c>
      <c r="F4" s="63">
        <v>51190.32</v>
      </c>
      <c r="G4" s="63">
        <v>45837.36</v>
      </c>
      <c r="H4" s="63">
        <v>47541.599999999999</v>
      </c>
      <c r="I4" s="63">
        <v>88967.039999999994</v>
      </c>
      <c r="J4" s="63">
        <v>92695.92</v>
      </c>
      <c r="K4" s="63">
        <f>SUM(D4:J4)</f>
        <v>466010.75999999995</v>
      </c>
    </row>
    <row r="5" spans="2:11" x14ac:dyDescent="0.25">
      <c r="B5" t="s">
        <v>175</v>
      </c>
      <c r="C5" t="s">
        <v>173</v>
      </c>
      <c r="D5" s="63">
        <v>72010</v>
      </c>
      <c r="E5" s="63">
        <v>67800</v>
      </c>
      <c r="F5" s="63">
        <v>50999</v>
      </c>
      <c r="G5" s="63">
        <v>45900</v>
      </c>
      <c r="H5" s="63">
        <v>47600</v>
      </c>
      <c r="I5" s="63">
        <v>89100</v>
      </c>
      <c r="J5" s="63">
        <v>92700</v>
      </c>
      <c r="K5" s="63">
        <f>SUM(D5:J5)</f>
        <v>466109</v>
      </c>
    </row>
    <row r="6" spans="2:11" x14ac:dyDescent="0.25">
      <c r="D6" s="63"/>
      <c r="E6" s="63"/>
      <c r="F6" s="63"/>
      <c r="G6" s="63"/>
      <c r="H6" s="63"/>
      <c r="I6" s="63"/>
      <c r="J6" s="63"/>
      <c r="K6" s="63"/>
    </row>
    <row r="7" spans="2:11" x14ac:dyDescent="0.25">
      <c r="B7" t="s">
        <v>177</v>
      </c>
      <c r="C7" t="s">
        <v>173</v>
      </c>
      <c r="D7" s="63">
        <v>72528</v>
      </c>
      <c r="E7" s="63"/>
      <c r="F7" s="63"/>
      <c r="G7" s="63"/>
      <c r="H7" s="63"/>
      <c r="I7" s="63"/>
      <c r="J7" s="63"/>
      <c r="K7" s="63">
        <f t="shared" ref="K7:K10" si="0">SUM(D7:J7)</f>
        <v>72528</v>
      </c>
    </row>
    <row r="8" spans="2:11" x14ac:dyDescent="0.25">
      <c r="D8" s="63"/>
      <c r="E8" s="63"/>
      <c r="F8" s="63"/>
      <c r="G8" s="63"/>
      <c r="H8" s="63"/>
      <c r="I8" s="63"/>
      <c r="J8" s="63"/>
      <c r="K8" s="63">
        <f t="shared" si="0"/>
        <v>0</v>
      </c>
    </row>
    <row r="9" spans="2:11" x14ac:dyDescent="0.25">
      <c r="D9" s="63"/>
      <c r="E9" s="63"/>
      <c r="F9" s="63"/>
      <c r="G9" s="63"/>
      <c r="H9" s="63"/>
      <c r="I9" s="63"/>
      <c r="J9" s="63"/>
      <c r="K9" s="63">
        <f t="shared" si="0"/>
        <v>0</v>
      </c>
    </row>
    <row r="10" spans="2:11" x14ac:dyDescent="0.25">
      <c r="D10" s="63"/>
      <c r="E10" s="63"/>
      <c r="F10" s="63"/>
      <c r="G10" s="63"/>
      <c r="H10" s="63"/>
      <c r="I10" s="63"/>
      <c r="J10" s="63"/>
      <c r="K10" s="63">
        <f t="shared" si="0"/>
        <v>0</v>
      </c>
    </row>
  </sheetData>
  <sortState ref="B2:K5">
    <sortCondition ref="K2:K5"/>
  </sortState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2</vt:i4>
      </vt:variant>
    </vt:vector>
  </HeadingPairs>
  <TitlesOfParts>
    <vt:vector size="8" baseType="lpstr">
      <vt:lpstr>MODELO</vt:lpstr>
      <vt:lpstr>TILS 20H - PF</vt:lpstr>
      <vt:lpstr>TILS 40H - PF</vt:lpstr>
      <vt:lpstr>INSUMOS - PF</vt:lpstr>
      <vt:lpstr>RESUMO - PF</vt:lpstr>
      <vt:lpstr>Plan1</vt:lpstr>
      <vt:lpstr>'INSUMOS - PF'!Area_de_impressao</vt:lpstr>
      <vt:lpstr>'RESUMO - PF'!Area_de_impressao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2006-09-25T12:47:36Z</dcterms:created>
  <dcterms:modified xsi:type="dcterms:W3CDTF">2023-06-06T13:14:23Z</dcterms:modified>
</cp:coreProperties>
</file>